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filterPrivacy="1" showInkAnnotation="0" defaultThemeVersion="124226"/>
  <xr:revisionPtr revIDLastSave="0" documentId="13_ncr:1_{0BEA08F0-BBC3-4E16-BD8F-6A9A4399940F}" xr6:coauthVersionLast="36" xr6:coauthVersionMax="47" xr10:uidLastSave="{00000000-0000-0000-0000-000000000000}"/>
  <bookViews>
    <workbookView xWindow="0" yWindow="0" windowWidth="19200" windowHeight="6350" firstSheet="4" activeTab="6" xr2:uid="{00000000-000D-0000-FFFF-FFFF00000000}"/>
  </bookViews>
  <sheets>
    <sheet name="Hinweise" sheetId="6" r:id="rId1"/>
    <sheet name="Kalkulator bis 9_2020" sheetId="3" r:id="rId2"/>
    <sheet name="Kalkulator 10_2020 - 12_2021" sheetId="5" r:id="rId3"/>
    <sheet name="Kalkulator ab 01_2022" sheetId="8" r:id="rId4"/>
    <sheet name="Kalkulator ab 04_2022" sheetId="7" r:id="rId5"/>
    <sheet name="Pauschaler Ergänzungsbetrag" sheetId="4" r:id="rId6"/>
    <sheet name="Kalkulator für 2024" sheetId="37" r:id="rId7"/>
    <sheet name="Kalkulator für 2025" sheetId="38" r:id="rId8"/>
    <sheet name="Kalkulator für 2026" sheetId="41" r:id="rId9"/>
    <sheet name="Kalkulator für 2027" sheetId="42" r:id="rId10"/>
  </sheets>
  <calcPr calcId="191029"/>
</workbook>
</file>

<file path=xl/calcChain.xml><?xml version="1.0" encoding="utf-8"?>
<calcChain xmlns="http://schemas.openxmlformats.org/spreadsheetml/2006/main">
  <c r="E10" i="42" l="1"/>
  <c r="L33" i="42" s="1"/>
  <c r="E8" i="42"/>
  <c r="F14" i="42" s="1"/>
  <c r="L30" i="42"/>
  <c r="M30" i="42"/>
  <c r="N30" i="42"/>
  <c r="O30" i="42"/>
  <c r="T30" i="42"/>
  <c r="S30" i="42"/>
  <c r="R30" i="42"/>
  <c r="Q30" i="42"/>
  <c r="P30" i="42"/>
  <c r="T29" i="42"/>
  <c r="S29" i="42"/>
  <c r="R29" i="42"/>
  <c r="Q29" i="42"/>
  <c r="P29" i="42"/>
  <c r="O29" i="42"/>
  <c r="N29" i="42"/>
  <c r="M29" i="42"/>
  <c r="L29" i="42"/>
  <c r="K29" i="42"/>
  <c r="J29" i="42"/>
  <c r="I29" i="42"/>
  <c r="T28" i="42"/>
  <c r="S28" i="42"/>
  <c r="R28" i="42"/>
  <c r="Q28" i="42"/>
  <c r="P28" i="42"/>
  <c r="O28" i="42"/>
  <c r="N28" i="42"/>
  <c r="M28" i="42"/>
  <c r="L28" i="42"/>
  <c r="K28" i="42"/>
  <c r="J28" i="42"/>
  <c r="I28" i="42"/>
  <c r="T27" i="42"/>
  <c r="S27" i="42"/>
  <c r="R27" i="42"/>
  <c r="Q27" i="42"/>
  <c r="P27" i="42"/>
  <c r="O27" i="42"/>
  <c r="N27" i="42"/>
  <c r="M27" i="42"/>
  <c r="L27" i="42"/>
  <c r="K27" i="42"/>
  <c r="J27" i="42"/>
  <c r="I27" i="42"/>
  <c r="T26" i="42"/>
  <c r="S26" i="42"/>
  <c r="R26" i="42"/>
  <c r="Q26" i="42"/>
  <c r="P26" i="42"/>
  <c r="O26" i="42"/>
  <c r="N26" i="42"/>
  <c r="M26" i="42"/>
  <c r="L26" i="42"/>
  <c r="K26" i="42"/>
  <c r="J26" i="42"/>
  <c r="J31" i="42" s="1"/>
  <c r="I26" i="42"/>
  <c r="R33" i="42" l="1"/>
  <c r="F19" i="42"/>
  <c r="E19" i="42" s="1"/>
  <c r="E33" i="42"/>
  <c r="E15" i="42"/>
  <c r="F15" i="42"/>
  <c r="F16" i="42"/>
  <c r="F17" i="42" s="1"/>
  <c r="E14" i="42"/>
  <c r="E16" i="42"/>
  <c r="E17" i="42" s="1"/>
  <c r="L31" i="42"/>
  <c r="M31" i="42"/>
  <c r="N31" i="42"/>
  <c r="S33" i="42"/>
  <c r="Q31" i="42"/>
  <c r="R31" i="42"/>
  <c r="F30" i="42"/>
  <c r="O31" i="42"/>
  <c r="F33" i="42"/>
  <c r="P31" i="42"/>
  <c r="I33" i="42"/>
  <c r="M33" i="42"/>
  <c r="N33" i="42"/>
  <c r="O33" i="42"/>
  <c r="P33" i="42"/>
  <c r="Q33" i="42"/>
  <c r="F26" i="42"/>
  <c r="F28" i="42"/>
  <c r="F29" i="42"/>
  <c r="K31" i="42"/>
  <c r="F27" i="42"/>
  <c r="S31" i="42"/>
  <c r="T31" i="42"/>
  <c r="I31" i="42"/>
  <c r="T33" i="42"/>
  <c r="J33" i="42"/>
  <c r="K33" i="42"/>
  <c r="T28" i="41"/>
  <c r="S28" i="41"/>
  <c r="R28" i="41"/>
  <c r="Q28" i="41"/>
  <c r="P28" i="41"/>
  <c r="O28" i="41"/>
  <c r="N28" i="41"/>
  <c r="M28" i="41"/>
  <c r="L28" i="41"/>
  <c r="K28" i="41"/>
  <c r="J28" i="41"/>
  <c r="I28" i="41"/>
  <c r="T27" i="41"/>
  <c r="S27" i="41"/>
  <c r="R27" i="41"/>
  <c r="Q27" i="41"/>
  <c r="P27" i="41"/>
  <c r="O27" i="41"/>
  <c r="N27" i="41"/>
  <c r="M27" i="41"/>
  <c r="L27" i="41"/>
  <c r="K27" i="41"/>
  <c r="J27" i="41"/>
  <c r="I27" i="41"/>
  <c r="T26" i="41"/>
  <c r="S26" i="41"/>
  <c r="R26" i="41"/>
  <c r="Q26" i="41"/>
  <c r="P26" i="41"/>
  <c r="O26" i="41"/>
  <c r="N26" i="41"/>
  <c r="M26" i="41"/>
  <c r="L26" i="41"/>
  <c r="K26" i="41"/>
  <c r="J26" i="41"/>
  <c r="I26" i="41"/>
  <c r="T25" i="41"/>
  <c r="S25" i="41"/>
  <c r="R25" i="41"/>
  <c r="Q25" i="41"/>
  <c r="P25" i="41"/>
  <c r="O25" i="41"/>
  <c r="N25" i="41"/>
  <c r="M25" i="41"/>
  <c r="L25" i="41"/>
  <c r="K25" i="41"/>
  <c r="J25" i="41"/>
  <c r="I25" i="41"/>
  <c r="E9" i="41"/>
  <c r="E7" i="41"/>
  <c r="F18" i="41" l="1"/>
  <c r="E31" i="41"/>
  <c r="F31" i="41" s="1"/>
  <c r="F14" i="41"/>
  <c r="E13" i="41"/>
  <c r="E34" i="42" a="1"/>
  <c r="E34" i="42" s="1"/>
  <c r="E35" i="42" a="1"/>
  <c r="E35" i="42" s="1"/>
  <c r="F34" i="42" a="1"/>
  <c r="F34" i="42" s="1"/>
  <c r="F35" i="42" a="1"/>
  <c r="F35" i="42" s="1"/>
  <c r="E36" i="42" a="1"/>
  <c r="E36" i="42" s="1"/>
  <c r="E21" i="42"/>
  <c r="F42" i="42" s="1"/>
  <c r="F36" i="42" a="1"/>
  <c r="F36" i="42" s="1"/>
  <c r="N29" i="41"/>
  <c r="T31" i="41"/>
  <c r="S31" i="41"/>
  <c r="R31" i="41"/>
  <c r="J31" i="41"/>
  <c r="Q31" i="41"/>
  <c r="I31" i="41"/>
  <c r="P31" i="41"/>
  <c r="O31" i="41"/>
  <c r="N31" i="41"/>
  <c r="M31" i="41"/>
  <c r="L31" i="41"/>
  <c r="K31" i="41"/>
  <c r="E18" i="41"/>
  <c r="M29" i="41"/>
  <c r="L29" i="41"/>
  <c r="I29" i="41"/>
  <c r="J29" i="41"/>
  <c r="O29" i="41"/>
  <c r="R29" i="41"/>
  <c r="S29" i="41"/>
  <c r="T29" i="41"/>
  <c r="K29" i="41"/>
  <c r="P29" i="41"/>
  <c r="F26" i="41"/>
  <c r="F27" i="41"/>
  <c r="F28" i="41"/>
  <c r="F25" i="41"/>
  <c r="Q29" i="41"/>
  <c r="F13" i="41"/>
  <c r="F15" i="41" s="1"/>
  <c r="F16" i="41" s="1"/>
  <c r="E14" i="41"/>
  <c r="F33" i="41" l="1" a="1"/>
  <c r="F33" i="41" s="1"/>
  <c r="F32" i="41" a="1"/>
  <c r="F32" i="41" s="1"/>
  <c r="E33" i="41" a="1"/>
  <c r="E33" i="41" s="1"/>
  <c r="E32" i="41" a="1"/>
  <c r="E32" i="41" s="1"/>
  <c r="E15" i="41"/>
  <c r="E16" i="41" s="1"/>
  <c r="E34" i="41" a="1"/>
  <c r="E34" i="41" s="1"/>
  <c r="F34" i="41" a="1"/>
  <c r="F34" i="41" s="1"/>
  <c r="E20" i="41"/>
  <c r="F40" i="41" s="1"/>
  <c r="E8" i="38" l="1"/>
  <c r="F17" i="38" s="1"/>
  <c r="F26" i="38"/>
  <c r="F25" i="38"/>
  <c r="F24" i="38"/>
  <c r="E6" i="38"/>
  <c r="E6" i="37"/>
  <c r="F12" i="37"/>
  <c r="F13" i="37" s="1"/>
  <c r="E12" i="37"/>
  <c r="E13" i="37" s="1"/>
  <c r="F15" i="37" l="1"/>
  <c r="E15" i="37" s="1"/>
  <c r="E17" i="38"/>
  <c r="E29" i="38"/>
  <c r="F29" i="38" s="1"/>
  <c r="E12" i="38"/>
  <c r="F12" i="38"/>
  <c r="E13" i="38"/>
  <c r="E14" i="38" s="1"/>
  <c r="E15" i="38" s="1"/>
  <c r="F13" i="38"/>
  <c r="F14" i="38" l="1"/>
  <c r="F15" i="38" s="1"/>
  <c r="F38" i="42" s="1"/>
  <c r="F43" i="42" s="1"/>
  <c r="F46" i="42" s="1"/>
  <c r="F50" i="42" s="1"/>
  <c r="F32" i="38"/>
  <c r="E30" i="38"/>
  <c r="E17" i="37"/>
  <c r="F21" i="37" s="1"/>
  <c r="F24" i="37" s="1"/>
  <c r="F28" i="37" s="1"/>
  <c r="F31" i="38" l="1"/>
  <c r="F30" i="38" s="1"/>
  <c r="E19" i="38"/>
  <c r="F38" i="38" s="1"/>
  <c r="F36" i="41"/>
  <c r="F41" i="41" s="1"/>
  <c r="F44" i="41" s="1"/>
  <c r="F48" i="41" s="1"/>
  <c r="E31" i="38" l="1"/>
  <c r="E32" i="38" s="1"/>
  <c r="F34" i="38" s="1"/>
  <c r="F39" i="38" s="1"/>
  <c r="F42" i="38" s="1"/>
  <c r="F46" i="38" s="1"/>
  <c r="E16" i="8"/>
  <c r="K15" i="8"/>
  <c r="K14" i="8"/>
  <c r="K13" i="8"/>
  <c r="N11" i="8"/>
  <c r="K11" i="8"/>
  <c r="N10" i="8"/>
  <c r="E8" i="8"/>
  <c r="E7" i="8"/>
  <c r="E6" i="8"/>
  <c r="E9" i="8" s="1"/>
  <c r="H7" i="8" l="1"/>
  <c r="H9" i="8"/>
  <c r="K10" i="8"/>
  <c r="N8" i="8"/>
  <c r="H6" i="8"/>
  <c r="N12" i="7"/>
  <c r="E6" i="7"/>
  <c r="E16" i="7"/>
  <c r="K15" i="7"/>
  <c r="K14" i="7"/>
  <c r="K13" i="7"/>
  <c r="N11" i="7"/>
  <c r="K11" i="7"/>
  <c r="N10" i="7"/>
  <c r="E8" i="7"/>
  <c r="E7" i="7"/>
  <c r="K6" i="8" l="1"/>
  <c r="K7" i="8"/>
  <c r="K9" i="8"/>
  <c r="E15" i="8"/>
  <c r="E17" i="8" s="1"/>
  <c r="N9" i="8" s="1"/>
  <c r="K12" i="8"/>
  <c r="N7" i="8"/>
  <c r="K8" i="8"/>
  <c r="N6" i="8" l="1"/>
  <c r="N15" i="8" s="1"/>
  <c r="K16" i="8"/>
  <c r="B7" i="4"/>
  <c r="B8" i="4"/>
  <c r="N16" i="8" l="1"/>
  <c r="F20" i="8" s="1"/>
  <c r="F21" i="8" s="1"/>
  <c r="B17" i="4"/>
  <c r="B16" i="4"/>
  <c r="B15" i="4"/>
  <c r="B14" i="4"/>
  <c r="B13" i="4"/>
  <c r="B12" i="4"/>
  <c r="B10" i="4"/>
  <c r="B9" i="4"/>
  <c r="E8" i="5"/>
  <c r="E9" i="4" s="1"/>
  <c r="K13" i="5"/>
  <c r="N11" i="5"/>
  <c r="K11" i="5"/>
  <c r="E16" i="5"/>
  <c r="E17" i="4" s="1"/>
  <c r="E6" i="5"/>
  <c r="E7" i="4" s="1"/>
  <c r="E7" i="5" l="1"/>
  <c r="K15" i="5"/>
  <c r="N10" i="5"/>
  <c r="K14" i="5"/>
  <c r="E9" i="5" l="1"/>
  <c r="E8" i="4"/>
  <c r="H9" i="5"/>
  <c r="H6" i="5"/>
  <c r="N8" i="5"/>
  <c r="H7" i="5"/>
  <c r="H8" i="4" s="1"/>
  <c r="K9" i="5" l="1"/>
  <c r="H7" i="4"/>
  <c r="K10" i="5"/>
  <c r="E10" i="4"/>
  <c r="N7" i="5"/>
  <c r="K7" i="5"/>
  <c r="K8" i="5"/>
  <c r="E15" i="5"/>
  <c r="K6" i="5"/>
  <c r="N6" i="5" s="1"/>
  <c r="K12" i="5"/>
  <c r="E17" i="5" l="1"/>
  <c r="E16" i="4"/>
  <c r="K16" i="5"/>
  <c r="N9" i="5" l="1"/>
  <c r="N15" i="5" s="1"/>
  <c r="N16" i="5" s="1"/>
  <c r="E18" i="4"/>
  <c r="F20" i="5"/>
  <c r="F21" i="5" s="1"/>
  <c r="K15" i="4" l="1"/>
  <c r="E7" i="3"/>
  <c r="E15" i="3" l="1"/>
  <c r="L9" i="4" l="1"/>
  <c r="N10" i="3"/>
  <c r="K11" i="3"/>
  <c r="K14" i="4" s="1"/>
  <c r="K9" i="3"/>
  <c r="K12" i="4" s="1"/>
  <c r="E8" i="3"/>
  <c r="E6" i="3"/>
  <c r="K10" i="4" l="1"/>
  <c r="K8" i="4"/>
  <c r="E9" i="3"/>
  <c r="K12" i="3"/>
  <c r="K16" i="4" s="1"/>
  <c r="E12" i="4" l="1"/>
  <c r="K11" i="4" s="1"/>
  <c r="H9" i="3"/>
  <c r="O8" i="3"/>
  <c r="H6" i="3"/>
  <c r="H7" i="3"/>
  <c r="K8" i="3"/>
  <c r="N8" i="3"/>
  <c r="H10" i="4" l="1"/>
  <c r="H12" i="4"/>
  <c r="N7" i="3"/>
  <c r="E14" i="3"/>
  <c r="E16" i="3" s="1"/>
  <c r="N9" i="3" s="1"/>
  <c r="K7" i="3"/>
  <c r="K10" i="3"/>
  <c r="K6" i="3"/>
  <c r="K13" i="3" l="1"/>
  <c r="N6" i="3"/>
  <c r="N13" i="3" s="1"/>
  <c r="N14" i="3" l="1"/>
  <c r="F20" i="3" s="1"/>
  <c r="F21" i="3" l="1"/>
  <c r="K9" i="4"/>
  <c r="K13" i="4"/>
  <c r="K7" i="4"/>
  <c r="E9" i="7"/>
  <c r="K17" i="4" l="1"/>
  <c r="K20" i="4" s="1"/>
  <c r="K21" i="4" s="1"/>
  <c r="H7" i="7"/>
  <c r="N8" i="7"/>
  <c r="H6" i="7"/>
  <c r="H9" i="7"/>
  <c r="E10" i="7" l="1"/>
  <c r="K10" i="7" s="1"/>
  <c r="K6" i="7"/>
  <c r="E15" i="7"/>
  <c r="E17" i="7" s="1"/>
  <c r="N9" i="7" s="1"/>
  <c r="K8" i="7"/>
  <c r="K12" i="7"/>
  <c r="N7" i="7"/>
  <c r="K9" i="7"/>
  <c r="K7" i="7"/>
  <c r="N6" i="7" l="1"/>
  <c r="K16" i="7"/>
  <c r="N15" i="7" l="1"/>
  <c r="N16" i="7" s="1"/>
  <c r="F22" i="7" s="1"/>
  <c r="F23"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6" authorId="0" shapeId="0" xr:uid="{00000000-0006-0000-0000-000001000000}">
      <text>
        <r>
          <rPr>
            <sz val="9"/>
            <color indexed="81"/>
            <rFont val="Tahoma"/>
            <family val="2"/>
          </rPr>
          <t>Maßgeblich ist die laut Krankenhausplan ausgewiesene Anzahl der Planbetten. In Bundesländern mit einer Krankenhausplanung ohne Ausweis von Planbetten ist auf die in der Pflegesatz-/ Entgeltvereinbarung zugrunde gelegten Anzahl der aufgestellten Ist-Betten abzustellen</t>
        </r>
      </text>
    </comment>
    <comment ref="E6" authorId="0" shapeId="0" xr:uid="{00000000-0006-0000-0000-000002000000}">
      <text>
        <r>
          <rPr>
            <sz val="9"/>
            <color indexed="81"/>
            <rFont val="Tahoma"/>
            <family val="2"/>
          </rPr>
          <t>Kartenterminals für Aufnahmearbeitsplätze
(§ 5 Abs. 1 FinV)</t>
        </r>
      </text>
    </comment>
    <comment ref="H6" authorId="0" shapeId="0" xr:uid="{00000000-0006-0000-0000-000003000000}">
      <text>
        <r>
          <rPr>
            <sz val="9"/>
            <color indexed="81"/>
            <rFont val="Tahoma"/>
            <family val="2"/>
          </rPr>
          <t>Einboxkonnektoren nach § 4 Abs. 1 FinV</t>
        </r>
      </text>
    </comment>
    <comment ref="B7" authorId="0" shapeId="0" xr:uid="{00000000-0006-0000-0000-000004000000}">
      <text>
        <r>
          <rPr>
            <sz val="9"/>
            <color indexed="81"/>
            <rFont val="Tahoma"/>
            <family val="2"/>
          </rPr>
          <t>Anzahl ärztliche Vollkräfte entsprechend der Meldung an das jeweilige statistische Landesamt</t>
        </r>
      </text>
    </comment>
    <comment ref="E7" authorId="0" shapeId="0" xr:uid="{00000000-0006-0000-0000-000005000000}">
      <text>
        <r>
          <rPr>
            <sz val="9"/>
            <color indexed="81"/>
            <rFont val="Tahoma"/>
            <family val="2"/>
          </rPr>
          <t>Kartenterminals für Ambulanzen
(§ 5 Abs. 2 FinV)</t>
        </r>
      </text>
    </comment>
    <comment ref="H7" authorId="0" shapeId="0" xr:uid="{00000000-0006-0000-0000-000006000000}">
      <text>
        <r>
          <rPr>
            <sz val="9"/>
            <color indexed="81"/>
            <rFont val="Tahoma"/>
            <family val="2"/>
          </rPr>
          <t>Rechenzentrumskonnektoren nach § 4 Abs. 1 FinV</t>
        </r>
      </text>
    </comment>
    <comment ref="B8" authorId="0" shapeId="0" xr:uid="{00000000-0006-0000-0000-000007000000}">
      <text>
        <r>
          <rPr>
            <sz val="9"/>
            <color indexed="81"/>
            <rFont val="Tahoma"/>
            <family val="2"/>
          </rPr>
          <t>Anzahl der Notfallambulanzen, ohne die Ambulanzen nach § 75 SGB V</t>
        </r>
      </text>
    </comment>
    <comment ref="E8" authorId="0" shapeId="0" xr:uid="{00000000-0006-0000-0000-000008000000}">
      <text>
        <r>
          <rPr>
            <sz val="9"/>
            <color indexed="81"/>
            <rFont val="Tahoma"/>
            <family val="2"/>
          </rPr>
          <t>Kartenterminals für die Nutzung der medizinischen Anwendungen
(§ 6 FinV)</t>
        </r>
      </text>
    </comment>
    <comment ref="B9" authorId="0" shapeId="0" xr:uid="{00000000-0006-0000-0000-000009000000}">
      <text>
        <r>
          <rPr>
            <sz val="9"/>
            <color indexed="81"/>
            <rFont val="Tahoma"/>
            <family val="2"/>
          </rPr>
          <t>Anzahl der persönlichen Ermächtigungsambulanzen</t>
        </r>
      </text>
    </comment>
    <comment ref="H9" authorId="0" shapeId="0" xr:uid="{00000000-0006-0000-0000-00000A000000}">
      <text>
        <r>
          <rPr>
            <b/>
            <sz val="9"/>
            <color indexed="81"/>
            <rFont val="Tahoma"/>
            <family val="2"/>
          </rPr>
          <t>J=Ja
N=Nein</t>
        </r>
      </text>
    </comment>
    <comment ref="B11" authorId="0" shapeId="0" xr:uid="{00000000-0006-0000-0000-00000B000000}">
      <text>
        <r>
          <rPr>
            <sz val="9"/>
            <color indexed="81"/>
            <rFont val="Tahoma"/>
            <family val="2"/>
          </rPr>
          <t>Anzahl der Fachabteilun-gen</t>
        </r>
      </text>
    </comment>
    <comment ref="B12" authorId="0" shapeId="0" xr:uid="{00000000-0006-0000-0000-00000C000000}">
      <text>
        <r>
          <rPr>
            <sz val="9"/>
            <color indexed="81"/>
            <rFont val="Tahoma"/>
            <family val="2"/>
          </rPr>
          <t>Anzahl der zugelassenen Behandlungsteams für Stationsäquivalente Behandlungen</t>
        </r>
      </text>
    </comment>
    <comment ref="B13" authorId="0" shapeId="0" xr:uid="{00000000-0006-0000-0000-00000D000000}">
      <text>
        <r>
          <rPr>
            <sz val="9"/>
            <color indexed="81"/>
            <rFont val="Tahoma"/>
            <family val="2"/>
          </rPr>
          <t>Diese Zahl gibt die Obergrenze der zu finan-zierenden HBAs an. Es reicht aus, die Anzahl der Ärzte anzugeben und nachzuweisen, die einen HBA benötigen.</t>
        </r>
      </text>
    </comment>
    <comment ref="B14" authorId="0" shapeId="0" xr:uid="{00000000-0006-0000-0000-00000E000000}">
      <text>
        <r>
          <rPr>
            <sz val="9"/>
            <color indexed="81"/>
            <rFont val="Tahoma"/>
            <family val="2"/>
          </rPr>
          <t>ab 2020 entsprechend dem Standortverzeichnis nach § 293 Abs. 6 SGB V,
mindestens 1</t>
        </r>
      </text>
    </comment>
    <comment ref="E14" authorId="0" shapeId="0" xr:uid="{00000000-0006-0000-0000-00000F000000}">
      <text>
        <r>
          <rPr>
            <sz val="9"/>
            <color indexed="81"/>
            <rFont val="Tahoma"/>
            <family val="2"/>
          </rPr>
          <t>Anzahl der sich errechnenden SMC-B
(§ 4 Abs. 2 FinV)</t>
        </r>
      </text>
    </comment>
    <comment ref="B15" authorId="0" shapeId="0" xr:uid="{00000000-0006-0000-0000-000010000000}">
      <text>
        <r>
          <rPr>
            <sz val="9"/>
            <color indexed="81"/>
            <rFont val="Tahoma"/>
            <family val="2"/>
          </rPr>
          <t xml:space="preserve">Macht es das Datenschutzgesetz erforderlich, dass Berechtigungen, und damit Verschlüsselungen, auch für einzelne Fachabteilungen möglich sein müssen? </t>
        </r>
        <r>
          <rPr>
            <b/>
            <sz val="9"/>
            <color indexed="81"/>
            <rFont val="Tahoma"/>
            <family val="2"/>
          </rPr>
          <t>Dies muss je Bundesland geprüft werden.
J=Ja
N=Nein</t>
        </r>
      </text>
    </comment>
    <comment ref="E15" authorId="0" shapeId="0" xr:uid="{00000000-0006-0000-0000-000011000000}">
      <text>
        <r>
          <rPr>
            <sz val="9"/>
            <color indexed="81"/>
            <rFont val="Tahoma"/>
            <family val="2"/>
          </rPr>
          <t>zusätzliche SMC-B, nur bei datenschutzrechtlicher Anforderung pro Fachabteilung
(§ 4 Abs. 3 FinV)</t>
        </r>
      </text>
    </comment>
    <comment ref="B16" authorId="0" shapeId="0" xr:uid="{00000000-0006-0000-0000-000012000000}">
      <text>
        <r>
          <rPr>
            <sz val="9"/>
            <color indexed="81"/>
            <rFont val="Tahoma"/>
            <family val="2"/>
          </rPr>
          <t>Bei unterjähriger Aufnahme des Betriebs gelten die Pauschalen proportional zur Anzahl der angefangenen Betriebsmonate.</t>
        </r>
      </text>
    </comment>
    <comment ref="E16" authorId="0" shapeId="0" xr:uid="{00000000-0006-0000-0000-000013000000}">
      <text>
        <r>
          <rPr>
            <sz val="9"/>
            <color indexed="81"/>
            <rFont val="Tahoma"/>
            <family val="2"/>
          </rPr>
          <t>Gesamtzahl der SMC-B</t>
        </r>
      </text>
    </comment>
    <comment ref="B17" authorId="0" shapeId="0" xr:uid="{00000000-0006-0000-0000-000014000000}">
      <text>
        <r>
          <rPr>
            <sz val="9"/>
            <color indexed="81"/>
            <rFont val="Tahoma"/>
            <family val="2"/>
          </rPr>
          <t xml:space="preserve">Im Folgejahr werden lediglich die Betriebskosten angesetzt.
</t>
        </r>
        <r>
          <rPr>
            <b/>
            <sz val="9"/>
            <color indexed="81"/>
            <rFont val="Tahoma"/>
            <family val="2"/>
          </rPr>
          <t xml:space="preserve">J=Ja
N=Nein
</t>
        </r>
        <r>
          <rPr>
            <sz val="9"/>
            <color indexed="81"/>
            <rFont val="Tahoma"/>
            <family val="2"/>
          </rPr>
          <t>"N" nur im Jahr der Erstausstattung</t>
        </r>
      </text>
    </comment>
    <comment ref="B18" authorId="0" shapeId="0" xr:uid="{00000000-0006-0000-0000-000015000000}">
      <text>
        <r>
          <rPr>
            <sz val="9"/>
            <color indexed="81"/>
            <rFont val="Tahoma"/>
            <family val="2"/>
          </rPr>
          <t>Anzahl der Fälle aus der Budgetverhandlung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6" authorId="0" shapeId="0" xr:uid="{DF456F82-039E-488D-B039-6B002B2975E6}">
      <text>
        <r>
          <rPr>
            <sz val="9"/>
            <color indexed="81"/>
            <rFont val="Segoe UI"/>
            <family val="2"/>
          </rPr>
          <t xml:space="preserve">Maßgeblich ist die laut Krankenhausplan ausgewiesene Anzahl der Planbetten. In Bundesländern mit einer Krankenhausplanung ohne Ausweis von Planbetten ist auf die in der Pflegesatz-/ Entgeltvereinbarung zugrunde gelegten Anzahl der aufgestellten Ist-Betten abzustellen
</t>
        </r>
      </text>
    </comment>
    <comment ref="E6" authorId="0" shapeId="0" xr:uid="{72E24E1A-D5CE-4F26-9F91-5CCDF1407D78}">
      <text>
        <r>
          <rPr>
            <sz val="9"/>
            <color indexed="81"/>
            <rFont val="Tahoma"/>
            <family val="2"/>
          </rPr>
          <t>Kartenterminals für Aufnahmearbeitsplätze
(§ 5 Abs. 1 FinV)</t>
        </r>
      </text>
    </comment>
    <comment ref="H6" authorId="0" shapeId="0" xr:uid="{21502302-9112-48C8-8EF8-5C1912B2C146}">
      <text>
        <r>
          <rPr>
            <sz val="9"/>
            <color indexed="81"/>
            <rFont val="Tahoma"/>
            <family val="2"/>
          </rPr>
          <t>Einboxkonnektoren nach § 4 Abs. 1 FinV</t>
        </r>
      </text>
    </comment>
    <comment ref="B7" authorId="0" shapeId="0" xr:uid="{4F59EABC-076E-4B4B-83D2-07B0C1BA14CB}">
      <text>
        <r>
          <rPr>
            <sz val="9"/>
            <color indexed="81"/>
            <rFont val="Segoe UI"/>
            <family val="2"/>
          </rPr>
          <t xml:space="preserve">Anzahl ärztliche Vollkräfte entsprechend der Meldung an das jeweilige statistische Landesamt
</t>
        </r>
      </text>
    </comment>
    <comment ref="E7" authorId="0" shapeId="0" xr:uid="{92C92700-B60A-4457-B1E3-CDBE653DBF56}">
      <text>
        <r>
          <rPr>
            <sz val="9"/>
            <color indexed="81"/>
            <rFont val="Tahoma"/>
            <family val="2"/>
          </rPr>
          <t>Kartenterminals für Ambulanzen
(§ 5 Abs. 2 FinV)</t>
        </r>
      </text>
    </comment>
    <comment ref="H7" authorId="0" shapeId="0" xr:uid="{CF62BD99-27DD-4137-8BB1-E4E498B65253}">
      <text>
        <r>
          <rPr>
            <sz val="9"/>
            <color indexed="81"/>
            <rFont val="Tahoma"/>
            <family val="2"/>
          </rPr>
          <t>Rechenzentrumskonnektoren nach § 4 Abs. 1 FinV</t>
        </r>
      </text>
    </comment>
    <comment ref="K7" authorId="0" shapeId="0" xr:uid="{7C88FA77-BF4B-41FC-A0C0-98A7FC2DB3E0}">
      <text>
        <r>
          <rPr>
            <sz val="9"/>
            <color indexed="81"/>
            <rFont val="Arial"/>
            <family val="2"/>
          </rPr>
          <t>Pauschale (400 €) * kalkuliertem EBK (siehe H6, auch wenn H9=J)</t>
        </r>
        <r>
          <rPr>
            <sz val="9"/>
            <color indexed="81"/>
            <rFont val="Segoe UI"/>
            <family val="2"/>
          </rPr>
          <t xml:space="preserve">
</t>
        </r>
      </text>
    </comment>
    <comment ref="B8" authorId="0" shapeId="0" xr:uid="{964CA2C9-B783-4562-A78C-B46BAC577822}">
      <text>
        <r>
          <rPr>
            <sz val="9"/>
            <color indexed="81"/>
            <rFont val="Segoe UI"/>
            <family val="2"/>
          </rPr>
          <t xml:space="preserve">Anzahl der Notfallambulanzen, ohne die Ambulanzen nach § 75 SGB V
</t>
        </r>
      </text>
    </comment>
    <comment ref="E8" authorId="0" shapeId="0" xr:uid="{4DD54556-CE7D-4B48-A9F0-0B04D857E7E7}">
      <text>
        <r>
          <rPr>
            <sz val="9"/>
            <color indexed="81"/>
            <rFont val="Tahoma"/>
            <family val="2"/>
          </rPr>
          <t>Kartenterminals für die Nutzung der medizinischen Anwendungen
(§ 6 FinV)</t>
        </r>
      </text>
    </comment>
    <comment ref="B9" authorId="0" shapeId="0" xr:uid="{6188D31C-5D1C-4180-8328-1BE09091C7BC}">
      <text>
        <r>
          <rPr>
            <sz val="9"/>
            <color indexed="81"/>
            <rFont val="Segoe UI"/>
            <family val="2"/>
          </rPr>
          <t xml:space="preserve">Anzahl der persönlichen Ermächtigungsambulanzen
</t>
        </r>
      </text>
    </comment>
    <comment ref="H9" authorId="0" shapeId="0" xr:uid="{DFAB86FF-D77C-4D90-B984-04D463CC8D17}">
      <text>
        <r>
          <rPr>
            <b/>
            <sz val="9"/>
            <color indexed="81"/>
            <rFont val="Tahoma"/>
            <family val="2"/>
          </rPr>
          <t>J=Ja
N=Nein</t>
        </r>
      </text>
    </comment>
    <comment ref="K9" authorId="0" shapeId="0" xr:uid="{4DC00E1A-1692-4BA6-82BC-03BE12F507B9}">
      <text>
        <r>
          <rPr>
            <sz val="9"/>
            <color indexed="81"/>
            <rFont val="Arial"/>
            <family val="2"/>
          </rPr>
          <t>Pauschale (120 €) * kalkuliertem EBK (siehe H6, auch wenn H9=J)</t>
        </r>
        <r>
          <rPr>
            <sz val="9"/>
            <color indexed="81"/>
            <rFont val="Segoe UI"/>
            <family val="2"/>
          </rPr>
          <t xml:space="preserve">
</t>
        </r>
      </text>
    </comment>
    <comment ref="B11" authorId="0" shapeId="0" xr:uid="{82933F1A-42E7-4957-9A31-4A8F5C2F9273}">
      <text>
        <r>
          <rPr>
            <sz val="9"/>
            <color indexed="81"/>
            <rFont val="Segoe UI"/>
            <family val="2"/>
          </rPr>
          <t xml:space="preserve">Anzahl der Fachabteilungen
</t>
        </r>
      </text>
    </comment>
    <comment ref="B12" authorId="0" shapeId="0" xr:uid="{3B9C729A-A9EF-42FC-BE23-6373C5E341F0}">
      <text>
        <r>
          <rPr>
            <sz val="9"/>
            <color indexed="81"/>
            <rFont val="Segoe UI"/>
            <family val="2"/>
          </rPr>
          <t xml:space="preserve">Anzahl der zugelassenen Behandlungsteams für Stationsäquivalente Behandlungen
</t>
        </r>
      </text>
    </comment>
    <comment ref="B13" authorId="0" shapeId="0" xr:uid="{ADB83165-567D-45D3-ABF6-C363E7891E8C}">
      <text>
        <r>
          <rPr>
            <sz val="9"/>
            <color indexed="81"/>
            <rFont val="Segoe UI"/>
            <family val="2"/>
          </rPr>
          <t>Diese Zahl gibt die Obergrenze der zu finanzierenden HBAs an. Es reicht aus, die Anzahl der Ärzte anzugeben und nachzuweisen, die einen HBA benötigen.
Apotheker und Pharmazieingenieure der Krankenhausapotheken wurden in der Fortschreibung der FinV ergänzt.</t>
        </r>
      </text>
    </comment>
    <comment ref="B14" authorId="0" shapeId="0" xr:uid="{AA676EE2-34EA-4432-8008-1B3B2992076C}">
      <text>
        <r>
          <rPr>
            <sz val="9"/>
            <color indexed="81"/>
            <rFont val="Segoe UI"/>
            <family val="2"/>
          </rPr>
          <t xml:space="preserve">ab 2020 entsprechend dem Standortverzeichnis nach § 293 Abs. 6 SGB V,
mindestens 1
</t>
        </r>
      </text>
    </comment>
    <comment ref="B15" authorId="0" shapeId="0" xr:uid="{ED760AD5-DD35-41FA-8E07-5C77682C8E0C}">
      <text>
        <r>
          <rPr>
            <sz val="9"/>
            <color indexed="81"/>
            <rFont val="Segoe UI"/>
            <family val="2"/>
          </rPr>
          <t xml:space="preserve">Macht es das Datenschutzgesetz erforderlich, dass Berechtigungen, und damit Verschlüsselungen, auch für einzelne Fachabteilungen möglich sein müssen? Dies muss je Bundesland geprüft werden.
J=Ja
N=Nein
</t>
        </r>
      </text>
    </comment>
    <comment ref="E15" authorId="0" shapeId="0" xr:uid="{4A56E9DC-8FAE-49C9-87B1-43BAB82AD264}">
      <text>
        <r>
          <rPr>
            <sz val="9"/>
            <color indexed="81"/>
            <rFont val="Tahoma"/>
            <family val="2"/>
          </rPr>
          <t>Anzahl der sich errechnenden SMC-B
(§ 4 Abs. 2 FinV)</t>
        </r>
      </text>
    </comment>
    <comment ref="B16" authorId="0" shapeId="0" xr:uid="{62F3000F-456C-40AE-BFB4-FA48212CEC18}">
      <text>
        <r>
          <rPr>
            <sz val="9"/>
            <color indexed="81"/>
            <rFont val="Tahoma"/>
            <family val="2"/>
          </rPr>
          <t>Bei unterjähriger Aufnahme des Betriebs gelten die Pauschalen proportional zur Anzahl der angefangenen Betriebsmonate.</t>
        </r>
      </text>
    </comment>
    <comment ref="E16" authorId="0" shapeId="0" xr:uid="{07FAB25D-6033-44DC-9266-8FE53CA51922}">
      <text>
        <r>
          <rPr>
            <sz val="9"/>
            <color indexed="81"/>
            <rFont val="Tahoma"/>
            <family val="2"/>
          </rPr>
          <t>zusätzliche SMC-B, nur bei datenschutzrechtlicher Anforderung pro Fachabteilung
(§ 4 Abs. 3 FinV)</t>
        </r>
      </text>
    </comment>
    <comment ref="B17" authorId="0" shapeId="0" xr:uid="{21A0ED7B-79B1-4464-85A9-8F8367E14D0D}">
      <text>
        <r>
          <rPr>
            <sz val="9"/>
            <color indexed="81"/>
            <rFont val="Tahoma"/>
            <family val="2"/>
          </rPr>
          <t xml:space="preserve">Im Folgejahr werden lediglich die Betriebskosten angesetzt.
</t>
        </r>
        <r>
          <rPr>
            <b/>
            <sz val="9"/>
            <color indexed="81"/>
            <rFont val="Tahoma"/>
            <family val="2"/>
          </rPr>
          <t xml:space="preserve">J=Ja
N=Nein
</t>
        </r>
        <r>
          <rPr>
            <sz val="9"/>
            <color indexed="81"/>
            <rFont val="Tahoma"/>
            <family val="2"/>
          </rPr>
          <t>"N" nur im Jahr der Erstausstattung</t>
        </r>
      </text>
    </comment>
    <comment ref="E17" authorId="0" shapeId="0" xr:uid="{9FCED5D0-9B0E-4953-9360-C1851C037F05}">
      <text>
        <r>
          <rPr>
            <sz val="9"/>
            <color indexed="81"/>
            <rFont val="Tahoma"/>
            <family val="2"/>
          </rPr>
          <t>Gesamtzahl der SMC-B</t>
        </r>
      </text>
    </comment>
    <comment ref="B18" authorId="0" shapeId="0" xr:uid="{2EB72334-3A69-4911-908D-F7D700AAA0B0}">
      <text>
        <r>
          <rPr>
            <sz val="9"/>
            <color indexed="81"/>
            <rFont val="Segoe UI"/>
            <family val="2"/>
          </rPr>
          <t>Anzahl der Fälle aus der Budgetverhandlung</t>
        </r>
        <r>
          <rPr>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6" authorId="0" shapeId="0" xr:uid="{8C7B1024-1069-43A3-B77D-E4678881D051}">
      <text>
        <r>
          <rPr>
            <sz val="9"/>
            <color indexed="81"/>
            <rFont val="Segoe UI"/>
            <family val="2"/>
          </rPr>
          <t xml:space="preserve">Maßgeblich ist die laut Krankenhausplan ausgewiesene Anzahl der Planbetten. In Bundesländern mit einer Krankenhausplanung ohne Ausweis von Planbetten ist auf die in der Pflegesatz-/ Entgeltvereinbarung zugrunde gelegten Anzahl der aufgestellten Ist-Betten abzustellen
</t>
        </r>
      </text>
    </comment>
    <comment ref="E6" authorId="0" shapeId="0" xr:uid="{D6435A6C-3905-47C0-8CA1-A28C49DD4AC1}">
      <text>
        <r>
          <rPr>
            <sz val="9"/>
            <color indexed="81"/>
            <rFont val="Tahoma"/>
            <family val="2"/>
          </rPr>
          <t>Kartenterminals für Aufnahmearbeitsplätze
(§ 5 Abs. 1 FinV)</t>
        </r>
      </text>
    </comment>
    <comment ref="H6" authorId="0" shapeId="0" xr:uid="{70C8D924-3C59-4349-9342-E1F6ADE6EEB2}">
      <text>
        <r>
          <rPr>
            <sz val="9"/>
            <color indexed="81"/>
            <rFont val="Tahoma"/>
            <family val="2"/>
          </rPr>
          <t>Einboxkonnektoren nach § 4 Abs. 1 FinV</t>
        </r>
      </text>
    </comment>
    <comment ref="B7" authorId="0" shapeId="0" xr:uid="{81779B2C-352C-4203-A79D-5F2ABAA39F87}">
      <text>
        <r>
          <rPr>
            <sz val="9"/>
            <color indexed="81"/>
            <rFont val="Segoe UI"/>
            <family val="2"/>
          </rPr>
          <t xml:space="preserve">Anzahl ärztliche Vollkräfte entsprechend der Meldung an das jeweilige statistische Landesamt
</t>
        </r>
      </text>
    </comment>
    <comment ref="E7" authorId="0" shapeId="0" xr:uid="{1D88D2C2-A158-495E-BE08-90EB4F2B86C9}">
      <text>
        <r>
          <rPr>
            <sz val="9"/>
            <color indexed="81"/>
            <rFont val="Tahoma"/>
            <family val="2"/>
          </rPr>
          <t>Kartenterminals für Ambulanzen
(§ 5 Abs. 2 FinV)</t>
        </r>
      </text>
    </comment>
    <comment ref="H7" authorId="0" shapeId="0" xr:uid="{01A9CCC1-8A31-4D8E-8BC2-8CF334B526F6}">
      <text>
        <r>
          <rPr>
            <sz val="9"/>
            <color indexed="81"/>
            <rFont val="Tahoma"/>
            <family val="2"/>
          </rPr>
          <t>Rechenzentrumskonnektoren nach § 4 Abs. 1 FinV</t>
        </r>
      </text>
    </comment>
    <comment ref="K7" authorId="0" shapeId="0" xr:uid="{FBE809C5-1F78-44C6-AEEB-E12D56F6C5EC}">
      <text>
        <r>
          <rPr>
            <sz val="9"/>
            <color indexed="81"/>
            <rFont val="Arial"/>
            <family val="2"/>
          </rPr>
          <t>Pauschale (400 €) * kalkuliertem EBK (siehe H6, auch wenn H9=J)</t>
        </r>
        <r>
          <rPr>
            <sz val="9"/>
            <color indexed="81"/>
            <rFont val="Segoe UI"/>
            <family val="2"/>
          </rPr>
          <t xml:space="preserve">
</t>
        </r>
      </text>
    </comment>
    <comment ref="B8" authorId="0" shapeId="0" xr:uid="{2196040F-0BAF-4685-8997-2B34D5B2A22C}">
      <text>
        <r>
          <rPr>
            <sz val="9"/>
            <color indexed="81"/>
            <rFont val="Segoe UI"/>
            <family val="2"/>
          </rPr>
          <t xml:space="preserve">Anzahl der Notfallambulanzen, ohne die Ambulanzen nach § 75 SGB V
</t>
        </r>
      </text>
    </comment>
    <comment ref="E8" authorId="0" shapeId="0" xr:uid="{09925EEF-A29B-47A2-85A4-168B406780FC}">
      <text>
        <r>
          <rPr>
            <sz val="9"/>
            <color indexed="81"/>
            <rFont val="Tahoma"/>
            <family val="2"/>
          </rPr>
          <t>Kartenterminals für die Nutzung der medizinischen Anwendungen
(§ 6 FinV)</t>
        </r>
      </text>
    </comment>
    <comment ref="B9" authorId="0" shapeId="0" xr:uid="{34197024-1872-42EE-BCA8-AAD79775DA6C}">
      <text>
        <r>
          <rPr>
            <sz val="9"/>
            <color indexed="81"/>
            <rFont val="Segoe UI"/>
            <family val="2"/>
          </rPr>
          <t xml:space="preserve">Anzahl der persönlichen Ermächtigungsambulanzen
</t>
        </r>
      </text>
    </comment>
    <comment ref="H9" authorId="0" shapeId="0" xr:uid="{0A2DF417-7693-4A5D-A6B7-0FB1622BD3CD}">
      <text>
        <r>
          <rPr>
            <b/>
            <sz val="9"/>
            <color indexed="81"/>
            <rFont val="Tahoma"/>
            <family val="2"/>
          </rPr>
          <t>J=Ja
N=Nein</t>
        </r>
      </text>
    </comment>
    <comment ref="K9" authorId="0" shapeId="0" xr:uid="{2126A4BE-C84A-414B-BE01-C447E862C2C2}">
      <text>
        <r>
          <rPr>
            <sz val="9"/>
            <color indexed="81"/>
            <rFont val="Arial"/>
            <family val="2"/>
          </rPr>
          <t>Pauschale (120 €) * kalkuliertem EBK (siehe H6, auch wenn H9=J)</t>
        </r>
        <r>
          <rPr>
            <sz val="9"/>
            <color indexed="81"/>
            <rFont val="Segoe UI"/>
            <family val="2"/>
          </rPr>
          <t xml:space="preserve">
</t>
        </r>
      </text>
    </comment>
    <comment ref="B11" authorId="0" shapeId="0" xr:uid="{0588FDF2-6296-487B-9F11-9CBA4E35B8A8}">
      <text>
        <r>
          <rPr>
            <sz val="9"/>
            <color indexed="81"/>
            <rFont val="Segoe UI"/>
            <family val="2"/>
          </rPr>
          <t xml:space="preserve">Anzahl der Fachabteilungen
</t>
        </r>
      </text>
    </comment>
    <comment ref="B12" authorId="0" shapeId="0" xr:uid="{0DBF2BF9-FFB9-4A63-BCD2-1EBB76A2970C}">
      <text>
        <r>
          <rPr>
            <sz val="9"/>
            <color indexed="81"/>
            <rFont val="Segoe UI"/>
            <family val="2"/>
          </rPr>
          <t xml:space="preserve">Anzahl der zugelassenen Behandlungsteams für Stationsäquivalente Behandlungen
</t>
        </r>
      </text>
    </comment>
    <comment ref="B13" authorId="0" shapeId="0" xr:uid="{4C7D95AE-AD31-410E-BB1E-701C607A5F01}">
      <text>
        <r>
          <rPr>
            <sz val="9"/>
            <color indexed="81"/>
            <rFont val="Segoe UI"/>
            <family val="2"/>
          </rPr>
          <t>Diese Zahl gibt die Obergrenze der zu finanzierenden HBAs an. Es reicht aus, die Anzahl der Ärzte anzugeben und nachzuweisen, die einen HBA benötigen.
Apotheker und Pharmazieingenieure der Krankenhausapotheken wurden in der Fortschreibung der FinV ergänzt.</t>
        </r>
      </text>
    </comment>
    <comment ref="B14" authorId="0" shapeId="0" xr:uid="{E2E0169F-B5FD-4E2F-9C99-51A33BB30049}">
      <text>
        <r>
          <rPr>
            <sz val="9"/>
            <color indexed="81"/>
            <rFont val="Segoe UI"/>
            <family val="2"/>
          </rPr>
          <t xml:space="preserve">ab 2020 entsprechend dem Standortverzeichnis nach § 293 Abs. 6 SGB V,
mindestens 1
</t>
        </r>
      </text>
    </comment>
    <comment ref="B15" authorId="0" shapeId="0" xr:uid="{134A8E6F-F0C0-4377-A8FF-8F5033C28CF2}">
      <text>
        <r>
          <rPr>
            <sz val="9"/>
            <color indexed="81"/>
            <rFont val="Segoe UI"/>
            <family val="2"/>
          </rPr>
          <t xml:space="preserve">Macht es das Datenschutzgesetz erforderlich, dass Berechtigungen, und damit Verschlüsselungen, auch für einzelne Fachabteilungen möglich sein müssen? Dies muss je Bundesland geprüft werden.
J=Ja
N=Nein
</t>
        </r>
      </text>
    </comment>
    <comment ref="E15" authorId="0" shapeId="0" xr:uid="{4087D47F-B40C-420D-9DCA-6EF35D7A60E7}">
      <text>
        <r>
          <rPr>
            <sz val="9"/>
            <color indexed="81"/>
            <rFont val="Tahoma"/>
            <family val="2"/>
          </rPr>
          <t>Anzahl der sich errechnenden SMC-B
(§ 4 Abs. 2 FinV)</t>
        </r>
      </text>
    </comment>
    <comment ref="B16" authorId="0" shapeId="0" xr:uid="{435B370D-C592-4AC8-99CD-8ED65DA3A953}">
      <text>
        <r>
          <rPr>
            <sz val="9"/>
            <color indexed="81"/>
            <rFont val="Tahoma"/>
            <family val="2"/>
          </rPr>
          <t>Bei unterjähriger Aufnahme des Betriebs gelten die Pauschalen proportional zur Anzahl der angefangenen Betriebsmonate.</t>
        </r>
      </text>
    </comment>
    <comment ref="E16" authorId="0" shapeId="0" xr:uid="{0A9E3070-8897-48F5-A737-02652592FFB8}">
      <text>
        <r>
          <rPr>
            <sz val="9"/>
            <color indexed="81"/>
            <rFont val="Tahoma"/>
            <family val="2"/>
          </rPr>
          <t>zusätzliche SMC-B, nur bei datenschutzrechtlicher Anforderung pro Fachabteilung
(§ 4 Abs. 3 FinV)</t>
        </r>
      </text>
    </comment>
    <comment ref="B17" authorId="0" shapeId="0" xr:uid="{594FC019-760C-44D5-918A-CEB555B5E2FC}">
      <text>
        <r>
          <rPr>
            <sz val="9"/>
            <color indexed="81"/>
            <rFont val="Tahoma"/>
            <family val="2"/>
          </rPr>
          <t xml:space="preserve">Im Folgejahr werden lediglich die Betriebskosten angesetzt.
</t>
        </r>
        <r>
          <rPr>
            <b/>
            <sz val="9"/>
            <color indexed="81"/>
            <rFont val="Tahoma"/>
            <family val="2"/>
          </rPr>
          <t xml:space="preserve">J=Ja
N=Nein
</t>
        </r>
        <r>
          <rPr>
            <sz val="9"/>
            <color indexed="81"/>
            <rFont val="Tahoma"/>
            <family val="2"/>
          </rPr>
          <t>"N" nur im Jahr der Erstausstattung</t>
        </r>
      </text>
    </comment>
    <comment ref="E17" authorId="0" shapeId="0" xr:uid="{A2862849-1F04-4A18-ADA1-96FF358469F4}">
      <text>
        <r>
          <rPr>
            <sz val="9"/>
            <color indexed="81"/>
            <rFont val="Tahoma"/>
            <family val="2"/>
          </rPr>
          <t>Gesamtzahl der SMC-B</t>
        </r>
      </text>
    </comment>
    <comment ref="B18" authorId="0" shapeId="0" xr:uid="{40CF7109-6A14-4E12-B1D1-868831FCA7E9}">
      <text>
        <r>
          <rPr>
            <sz val="9"/>
            <color indexed="81"/>
            <rFont val="Segoe UI"/>
            <family val="2"/>
          </rPr>
          <t>Anzahl der Fälle aus der Budgetverhandlung</t>
        </r>
        <r>
          <rPr>
            <sz val="9"/>
            <color indexed="81"/>
            <rFont val="Segoe UI"/>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6" authorId="0" shapeId="0" xr:uid="{A9E00F66-56B2-4F42-B1E8-975137D7D5EA}">
      <text>
        <r>
          <rPr>
            <sz val="9"/>
            <color indexed="81"/>
            <rFont val="Segoe UI"/>
            <family val="2"/>
          </rPr>
          <t xml:space="preserve">Maßgeblich ist die laut Krankenhausplan ausgewiesene Anzahl der Planbetten. In Bundesländern mit einer Krankenhausplanung ohne Ausweis von Planbetten ist auf die in der Pflegesatz-/ Entgeltvereinbarung zugrunde gelegten Anzahl der aufgestellten Ist-Betten abzustellen
</t>
        </r>
      </text>
    </comment>
    <comment ref="E6" authorId="0" shapeId="0" xr:uid="{4E896F19-5BFF-4497-A62E-AA14ED201EF0}">
      <text>
        <r>
          <rPr>
            <sz val="9"/>
            <color indexed="81"/>
            <rFont val="Tahoma"/>
            <family val="2"/>
          </rPr>
          <t>Kartenterminals für Aufnahmearbeitsplätze
(§ 5 Abs. 1 FinV)</t>
        </r>
      </text>
    </comment>
    <comment ref="H6" authorId="0" shapeId="0" xr:uid="{B5279509-B221-4490-9645-6D9FAA09FC35}">
      <text>
        <r>
          <rPr>
            <sz val="9"/>
            <color indexed="81"/>
            <rFont val="Tahoma"/>
            <family val="2"/>
          </rPr>
          <t>Einboxkonnektoren nach § 4 Abs. 1 FinV</t>
        </r>
      </text>
    </comment>
    <comment ref="B7" authorId="0" shapeId="0" xr:uid="{05D96803-0D5A-42DF-AB63-DF942AC05684}">
      <text>
        <r>
          <rPr>
            <sz val="9"/>
            <color indexed="81"/>
            <rFont val="Segoe UI"/>
            <family val="2"/>
          </rPr>
          <t xml:space="preserve">Anzahl ärztliche Vollkräfte entsprechend der Meldung an das jeweilige statistische Landesamt
</t>
        </r>
      </text>
    </comment>
    <comment ref="E7" authorId="0" shapeId="0" xr:uid="{A67EDF39-0D52-4894-A08F-246E6C29A23F}">
      <text>
        <r>
          <rPr>
            <sz val="9"/>
            <color indexed="81"/>
            <rFont val="Tahoma"/>
            <family val="2"/>
          </rPr>
          <t>Kartenterminals für Ambulanzen
(§ 5 Abs. 2 FinV)</t>
        </r>
      </text>
    </comment>
    <comment ref="H7" authorId="0" shapeId="0" xr:uid="{A5901B5E-7782-4AC8-AFDD-F7F899B3EE6B}">
      <text>
        <r>
          <rPr>
            <sz val="9"/>
            <color indexed="81"/>
            <rFont val="Tahoma"/>
            <family val="2"/>
          </rPr>
          <t>Rechenzentrumskonnektoren nach § 4 Abs. 1 FinV</t>
        </r>
      </text>
    </comment>
    <comment ref="K7" authorId="0" shapeId="0" xr:uid="{88130D0B-FBD9-4C77-9D75-0BA8E5CC68DA}">
      <text>
        <r>
          <rPr>
            <sz val="9"/>
            <color indexed="81"/>
            <rFont val="Arial"/>
            <family val="2"/>
          </rPr>
          <t>Pauschale (400 €) * kalkuliertem EBK (siehe H6, auch wenn H9=J)</t>
        </r>
        <r>
          <rPr>
            <sz val="9"/>
            <color indexed="81"/>
            <rFont val="Segoe UI"/>
            <family val="2"/>
          </rPr>
          <t xml:space="preserve">
</t>
        </r>
      </text>
    </comment>
    <comment ref="B8" authorId="0" shapeId="0" xr:uid="{F9F26937-CCCE-4A2C-B9FB-3CC46BD155BE}">
      <text>
        <r>
          <rPr>
            <sz val="9"/>
            <color indexed="81"/>
            <rFont val="Segoe UI"/>
            <family val="2"/>
          </rPr>
          <t xml:space="preserve">Anzahl der Notfallambulanzen, ohne die Ambulanzen nach § 75 SGB V
</t>
        </r>
      </text>
    </comment>
    <comment ref="E8" authorId="0" shapeId="0" xr:uid="{A3F7520B-084F-4552-A5A5-4BFE14B5FE41}">
      <text>
        <r>
          <rPr>
            <sz val="9"/>
            <color indexed="81"/>
            <rFont val="Tahoma"/>
            <family val="2"/>
          </rPr>
          <t>Kartenterminals für die Nutzung der medizinischen Anwendungen
(§ 6 FinV)</t>
        </r>
      </text>
    </comment>
    <comment ref="B9" authorId="0" shapeId="0" xr:uid="{CB24CD93-2FE9-4862-AEC2-8328D41A50C7}">
      <text>
        <r>
          <rPr>
            <sz val="9"/>
            <color indexed="81"/>
            <rFont val="Segoe UI"/>
            <family val="2"/>
          </rPr>
          <t xml:space="preserve">Anzahl der persönlichen Ermächtigungsambulanzen
</t>
        </r>
      </text>
    </comment>
    <comment ref="H9" authorId="0" shapeId="0" xr:uid="{1F8B46A9-BD29-4E1F-8902-5CA68B0F810C}">
      <text>
        <r>
          <rPr>
            <b/>
            <sz val="9"/>
            <color indexed="81"/>
            <rFont val="Tahoma"/>
            <family val="2"/>
          </rPr>
          <t>J=Ja
N=Nein</t>
        </r>
      </text>
    </comment>
    <comment ref="K9" authorId="0" shapeId="0" xr:uid="{6FAD0535-FD6B-4DFB-AE9D-06BBF08FE4C5}">
      <text>
        <r>
          <rPr>
            <sz val="9"/>
            <color indexed="81"/>
            <rFont val="Arial"/>
            <family val="2"/>
          </rPr>
          <t>Pauschale (120 €) * kalkuliertem EBK (siehe H6, auch wenn H9=J)</t>
        </r>
        <r>
          <rPr>
            <sz val="9"/>
            <color indexed="81"/>
            <rFont val="Segoe UI"/>
            <family val="2"/>
          </rPr>
          <t xml:space="preserve">
</t>
        </r>
      </text>
    </comment>
    <comment ref="B11" authorId="0" shapeId="0" xr:uid="{4D56DA19-DC54-4EB8-BC8B-80C2AF4B56A3}">
      <text>
        <r>
          <rPr>
            <sz val="9"/>
            <color indexed="81"/>
            <rFont val="Segoe UI"/>
            <family val="2"/>
          </rPr>
          <t xml:space="preserve">Anzahl der Fachabteilungen
</t>
        </r>
      </text>
    </comment>
    <comment ref="B12" authorId="0" shapeId="0" xr:uid="{797E4C99-B856-40CA-BF47-902C629623D7}">
      <text>
        <r>
          <rPr>
            <sz val="9"/>
            <color indexed="81"/>
            <rFont val="Segoe UI"/>
            <family val="2"/>
          </rPr>
          <t xml:space="preserve">Anzahl der zugelassenen Behandlungsteams für Stationsäquivalente Behandlungen
</t>
        </r>
      </text>
    </comment>
    <comment ref="B13" authorId="0" shapeId="0" xr:uid="{ABF5590A-9329-4BF2-A3E0-0F87422BC5B2}">
      <text>
        <r>
          <rPr>
            <sz val="9"/>
            <color indexed="81"/>
            <rFont val="Segoe UI"/>
            <family val="2"/>
          </rPr>
          <t>Diese Zahl gibt die Obergrenze der zu finanzierenden HBAs an. Es reicht aus, die Anzahl der Ärzte anzugeben und nachzuweisen, die einen HBA benötigen.
Apotheker und Pharmazieingenieure der Krankenhausapotheken wurden in der Fortschreibung der FinV ergänzt.</t>
        </r>
      </text>
    </comment>
    <comment ref="B14" authorId="0" shapeId="0" xr:uid="{3354D9F6-E377-47B1-8ED9-AC58EFDADD1E}">
      <text>
        <r>
          <rPr>
            <sz val="9"/>
            <color indexed="81"/>
            <rFont val="Segoe UI"/>
            <family val="2"/>
          </rPr>
          <t xml:space="preserve">ab 2020 entsprechend dem Standortverzeichnis nach § 293 Abs. 6 SGB V,
mindestens 1
</t>
        </r>
      </text>
    </comment>
    <comment ref="B15" authorId="0" shapeId="0" xr:uid="{41CA06D7-5619-4594-83B5-CFAE3F298399}">
      <text>
        <r>
          <rPr>
            <sz val="9"/>
            <color indexed="81"/>
            <rFont val="Segoe UI"/>
            <family val="2"/>
          </rPr>
          <t xml:space="preserve">Macht es das Datenschutzgesetz erforderlich, dass Berechtigungen, und damit Verschlüsselungen, auch für einzelne Fachabteilungen möglich sein müssen? Dies muss je Bundesland geprüft werden.
J=Ja
N=Nein
</t>
        </r>
      </text>
    </comment>
    <comment ref="E15" authorId="0" shapeId="0" xr:uid="{C77D7BF0-DD4F-4DAA-9EEC-45615C010625}">
      <text>
        <r>
          <rPr>
            <sz val="9"/>
            <color indexed="81"/>
            <rFont val="Tahoma"/>
            <family val="2"/>
          </rPr>
          <t>Anzahl der sich errechnenden SMC-B
(§ 4 Abs. 2 FinV)</t>
        </r>
      </text>
    </comment>
    <comment ref="B16" authorId="0" shapeId="0" xr:uid="{94C46B58-EC15-4FE2-A14C-5003202E30DB}">
      <text>
        <r>
          <rPr>
            <sz val="9"/>
            <color indexed="81"/>
            <rFont val="Tahoma"/>
            <family val="2"/>
          </rPr>
          <t>Bei unterjähriger Aufnahme des Betriebs gelten die Pauschalen proportional zur Anzahl der angefangenen Betriebsmonate.</t>
        </r>
      </text>
    </comment>
    <comment ref="E16" authorId="0" shapeId="0" xr:uid="{863C11FB-9925-41A9-B4DD-4A7ADFBBECE7}">
      <text>
        <r>
          <rPr>
            <sz val="9"/>
            <color indexed="81"/>
            <rFont val="Tahoma"/>
            <family val="2"/>
          </rPr>
          <t>zusätzliche SMC-B, nur bei datenschutzrechtlicher Anforderung pro Fachabteilung
(§ 4 Abs. 3 FinV)</t>
        </r>
      </text>
    </comment>
    <comment ref="B17" authorId="0" shapeId="0" xr:uid="{5D097761-0A07-4A1F-A2C2-23C636EED0FA}">
      <text>
        <r>
          <rPr>
            <sz val="9"/>
            <color indexed="81"/>
            <rFont val="Tahoma"/>
            <family val="2"/>
          </rPr>
          <t xml:space="preserve">Im Folgejahr werden lediglich die Betriebskosten angesetzt.
</t>
        </r>
        <r>
          <rPr>
            <b/>
            <sz val="9"/>
            <color indexed="81"/>
            <rFont val="Tahoma"/>
            <family val="2"/>
          </rPr>
          <t xml:space="preserve">J=Ja
N=Nein
</t>
        </r>
        <r>
          <rPr>
            <sz val="9"/>
            <color indexed="81"/>
            <rFont val="Tahoma"/>
            <family val="2"/>
          </rPr>
          <t>"N" nur im Jahr der Erstausstattung</t>
        </r>
      </text>
    </comment>
    <comment ref="E17" authorId="0" shapeId="0" xr:uid="{D9E45B9F-1A82-49F8-8852-2ED3D9219FDC}">
      <text>
        <r>
          <rPr>
            <sz val="9"/>
            <color indexed="81"/>
            <rFont val="Tahoma"/>
            <family val="2"/>
          </rPr>
          <t>Gesamtzahl der SMC-B</t>
        </r>
      </text>
    </comment>
    <comment ref="B18" authorId="0" shapeId="0" xr:uid="{C85B4C3E-1335-4FCB-9877-338BADBF421C}">
      <text>
        <r>
          <rPr>
            <sz val="9"/>
            <color indexed="81"/>
            <rFont val="Segoe UI"/>
            <family val="2"/>
          </rPr>
          <t>Die Pauschale für den KT-Aufs. wird einmalig in die Pauschale Betrieb für das Jahr 2022 aufgenommen.</t>
        </r>
      </text>
    </comment>
    <comment ref="B19" authorId="0" shapeId="0" xr:uid="{26DC7EFA-3523-4558-9A4B-961447A08BD8}">
      <text>
        <r>
          <rPr>
            <sz val="9"/>
            <color indexed="81"/>
            <rFont val="Tahoma"/>
            <family val="2"/>
          </rPr>
          <t xml:space="preserve">Angabe der ingenico KTs;
gemäß § 9 Abs. 2 Nr. 6 werden einmalig (2022) Aufsätze für ingenico KTs, die für die Aufnahme genutzt werden, ersetzt. </t>
        </r>
      </text>
    </comment>
    <comment ref="B20" authorId="0" shapeId="0" xr:uid="{C8A693E5-D951-41EA-B87A-B12816F7F350}">
      <text>
        <r>
          <rPr>
            <sz val="9"/>
            <color indexed="81"/>
            <rFont val="Segoe UI"/>
            <family val="2"/>
          </rPr>
          <t>Anzahl der Fälle aus der Budgetverhandlung</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E7" authorId="0" shapeId="0" xr:uid="{00000000-0006-0000-0100-000001000000}">
      <text>
        <r>
          <rPr>
            <sz val="9"/>
            <color indexed="81"/>
            <rFont val="Tahoma"/>
            <family val="2"/>
          </rPr>
          <t>Kartenterminals für Aufnahmearbeitsplätze
(§ 5 Abs. 1 FinV)</t>
        </r>
      </text>
    </comment>
    <comment ref="H7" authorId="0" shapeId="0" xr:uid="{00000000-0006-0000-0100-000002000000}">
      <text>
        <r>
          <rPr>
            <sz val="9"/>
            <color indexed="81"/>
            <rFont val="Tahoma"/>
            <family val="2"/>
          </rPr>
          <t>Einboxkonnektoren nach § 4 Abs. 1 FinV</t>
        </r>
      </text>
    </comment>
    <comment ref="K7" authorId="0" shapeId="0" xr:uid="{799A931F-18D1-4D23-977D-41B0AA7635DC}">
      <text>
        <r>
          <rPr>
            <b/>
            <sz val="9"/>
            <color indexed="81"/>
            <rFont val="Segoe UI"/>
            <family val="2"/>
          </rPr>
          <t>Ergänzungsbetrag für zusätzliche Konnektoren</t>
        </r>
        <r>
          <rPr>
            <sz val="9"/>
            <color indexed="81"/>
            <rFont val="Segoe UI"/>
            <family val="2"/>
          </rPr>
          <t xml:space="preserve">
</t>
        </r>
      </text>
    </comment>
    <comment ref="E8" authorId="0" shapeId="0" xr:uid="{00000000-0006-0000-0100-000003000000}">
      <text>
        <r>
          <rPr>
            <sz val="9"/>
            <color indexed="81"/>
            <rFont val="Tahoma"/>
            <family val="2"/>
          </rPr>
          <t>Kartenterminals für Ambulanzen
(§ 5 Abs. 2 FinV)</t>
        </r>
      </text>
    </comment>
    <comment ref="H8" authorId="0" shapeId="0" xr:uid="{00000000-0006-0000-0100-000004000000}">
      <text>
        <r>
          <rPr>
            <sz val="9"/>
            <color indexed="81"/>
            <rFont val="Tahoma"/>
            <family val="2"/>
          </rPr>
          <t>Rechenzentrumskonnektoren nach § 4 Abs. 1 FinV</t>
        </r>
      </text>
    </comment>
    <comment ref="K8" authorId="0" shapeId="0" xr:uid="{840CAF5E-70FA-4D92-A351-3D950B9277AE}">
      <text>
        <r>
          <rPr>
            <b/>
            <sz val="9"/>
            <color indexed="81"/>
            <rFont val="Arial"/>
            <family val="2"/>
          </rPr>
          <t>Pauschale (400 €) * kalkuliertem EBK</t>
        </r>
        <r>
          <rPr>
            <sz val="9"/>
            <color indexed="81"/>
            <rFont val="Segoe UI"/>
            <family val="2"/>
          </rPr>
          <t xml:space="preserve">
</t>
        </r>
      </text>
    </comment>
    <comment ref="E9" authorId="0" shapeId="0" xr:uid="{00000000-0006-0000-0100-000005000000}">
      <text>
        <r>
          <rPr>
            <sz val="9"/>
            <color indexed="81"/>
            <rFont val="Tahoma"/>
            <family val="2"/>
          </rPr>
          <t>Kartenterminals für die Nutzung der medizinischen Anwendungen
(§ 6 FinV)</t>
        </r>
      </text>
    </comment>
    <comment ref="H10" authorId="0" shapeId="0" xr:uid="{00000000-0006-0000-0100-000006000000}">
      <text>
        <r>
          <rPr>
            <sz val="9"/>
            <color indexed="81"/>
            <rFont val="Tahoma"/>
            <family val="2"/>
          </rPr>
          <t>J=Ja
N=Nein
Es wird der Wert aus Kalkulator_alt übernommen, da davon ausgegangen wird, dass wenn EBKs in der ersten Stufe berücksichtigt wurden, dies auch bei weiteren Anwendungen der Fall ist.</t>
        </r>
      </text>
    </comment>
    <comment ref="K10" authorId="0" shapeId="0" xr:uid="{1AABA04C-3C6B-4A2F-96BE-6CA7148B294D}">
      <text>
        <r>
          <rPr>
            <b/>
            <sz val="9"/>
            <color indexed="81"/>
            <rFont val="Arial"/>
            <family val="2"/>
          </rPr>
          <t>Pauschale (120 €) * kalkuliertem EBK</t>
        </r>
        <r>
          <rPr>
            <sz val="9"/>
            <color indexed="81"/>
            <rFont val="Segoe UI"/>
            <family val="2"/>
          </rPr>
          <t xml:space="preserve">
</t>
        </r>
      </text>
    </comment>
    <comment ref="K11" authorId="0" shapeId="0" xr:uid="{8119F190-F80E-4DC8-BFB0-5AFCABDF2199}">
      <text>
        <r>
          <rPr>
            <b/>
            <sz val="9"/>
            <color indexed="81"/>
            <rFont val="Segoe UI"/>
            <family val="2"/>
          </rPr>
          <t>Ergänzungsbetrag für zusätzliche Kartenterminals.</t>
        </r>
        <r>
          <rPr>
            <sz val="9"/>
            <color indexed="81"/>
            <rFont val="Segoe UI"/>
            <family val="2"/>
          </rPr>
          <t xml:space="preserve">
</t>
        </r>
      </text>
    </comment>
    <comment ref="K13" authorId="0" shapeId="0" xr:uid="{A8F14558-67D2-4D34-AB49-2A7C55E1280B}">
      <text>
        <r>
          <rPr>
            <b/>
            <sz val="9"/>
            <color indexed="81"/>
            <rFont val="Segoe UI"/>
            <family val="2"/>
          </rPr>
          <t>Ergänzungsbetrag für die Bereitstellung von zusätzlichen Konnektoren</t>
        </r>
      </text>
    </comment>
    <comment ref="K14" authorId="0" shapeId="0" xr:uid="{115A1037-0E08-4E26-9EFF-681095CB55E4}">
      <text>
        <r>
          <rPr>
            <b/>
            <sz val="9"/>
            <color indexed="81"/>
            <rFont val="Segoe UI"/>
            <family val="2"/>
          </rPr>
          <t>Erhöhung Pauschale für Software-anpassungen</t>
        </r>
        <r>
          <rPr>
            <sz val="9"/>
            <color indexed="81"/>
            <rFont val="Segoe UI"/>
            <family val="2"/>
          </rPr>
          <t xml:space="preserve">
</t>
        </r>
      </text>
    </comment>
    <comment ref="K15" authorId="0" shapeId="0" xr:uid="{E512E07B-312D-4B61-8D79-BBB48995EBDF}">
      <text>
        <r>
          <rPr>
            <b/>
            <sz val="9"/>
            <color indexed="81"/>
            <rFont val="Segoe UI"/>
            <family val="2"/>
          </rPr>
          <t xml:space="preserve">Planbettenzahl * 50 € </t>
        </r>
        <r>
          <rPr>
            <sz val="9"/>
            <color indexed="81"/>
            <rFont val="Segoe UI"/>
            <family val="2"/>
          </rPr>
          <t xml:space="preserve">
</t>
        </r>
      </text>
    </comment>
    <comment ref="E16" authorId="0" shapeId="0" xr:uid="{00000000-0006-0000-0100-000007000000}">
      <text>
        <r>
          <rPr>
            <sz val="9"/>
            <color indexed="81"/>
            <rFont val="Tahoma"/>
            <family val="2"/>
          </rPr>
          <t>Anzahl der sich errechnenden SMC-B
(§ 4 Abs. 2 FinV)</t>
        </r>
      </text>
    </comment>
    <comment ref="K16" authorId="0" shapeId="0" xr:uid="{745596D2-ADC6-40C9-8B14-1B545279F8FF}">
      <text>
        <r>
          <rPr>
            <b/>
            <sz val="9"/>
            <color indexed="81"/>
            <rFont val="Segoe UI"/>
            <family val="2"/>
          </rPr>
          <t>Erhöhung Pauschale für organisatorische Anpassungen</t>
        </r>
        <r>
          <rPr>
            <sz val="9"/>
            <color indexed="81"/>
            <rFont val="Segoe UI"/>
            <family val="2"/>
          </rPr>
          <t xml:space="preserve">
</t>
        </r>
      </text>
    </comment>
    <comment ref="E17" authorId="0" shapeId="0" xr:uid="{00000000-0006-0000-0100-000008000000}">
      <text>
        <r>
          <rPr>
            <sz val="9"/>
            <color indexed="81"/>
            <rFont val="Tahoma"/>
            <family val="2"/>
          </rPr>
          <t>zusätzliche SMC-B, nur bei datenschutzrechtlicher Anforderung pro Fachabteilung
(§ 4 Abs. 3 FinV)</t>
        </r>
      </text>
    </comment>
    <comment ref="E18" authorId="0" shapeId="0" xr:uid="{00000000-0006-0000-0100-000009000000}">
      <text>
        <r>
          <rPr>
            <sz val="9"/>
            <color indexed="81"/>
            <rFont val="Tahoma"/>
            <family val="2"/>
          </rPr>
          <t>Gesamtzahl der SMC-B</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11" authorId="0" shapeId="0" xr:uid="{22E391A9-2A83-448C-84D9-0BC69B8C572C}">
      <text>
        <r>
          <rPr>
            <sz val="9"/>
            <color indexed="81"/>
            <rFont val="Segoe UI"/>
            <family val="2"/>
          </rPr>
          <t>Maßgeblich ist die laut Krankenhausplan ausgewiesene Anzahl der Planbetten und -plätze. In Bundesländern mit einer Krankenhausplanung ohne Ausweis von Planbetten/-plätze ist auf die in der Pflegesatz-/ Entgeltvereinbarung zugrunde gelegten Anzahl der aufgestellten Ist-Betten/-Plätze abzustellen</t>
        </r>
      </text>
    </comment>
    <comment ref="F26" authorId="0" shapeId="0" xr:uid="{59586DED-3577-4C2B-82CC-870700EBD7AC}">
      <text>
        <r>
          <rPr>
            <sz val="9"/>
            <color indexed="81"/>
            <rFont val="Segoe UI"/>
            <family val="2"/>
          </rPr>
          <t>Anzahl der Fälle aus der Budgetverhandlung</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13" authorId="0" shapeId="0" xr:uid="{EC6E6810-6B53-49BC-A206-64BF5C6F08AE}">
      <text>
        <r>
          <rPr>
            <sz val="9"/>
            <color indexed="81"/>
            <rFont val="Segoe UI"/>
            <family val="2"/>
          </rPr>
          <t>Maßgeblich ist die laut Krankenhausplan ausgewiesene Anzahl der Planbetten und -plätze. In Bundesländern mit einer Krankenhausplanung ohne Ausweis von Planbetten/-plätze ist auf die in der Pflegesatz-/ Entgeltvereinbarung zugrunde gelegten Anzahl der aufgestellten Ist-Betten/-Plätze abzustellen</t>
        </r>
      </text>
    </comment>
    <comment ref="F44" authorId="0" shapeId="0" xr:uid="{3616EBE3-D690-49B4-B643-54C36D8B0294}">
      <text>
        <r>
          <rPr>
            <sz val="9"/>
            <color indexed="81"/>
            <rFont val="Segoe UI"/>
            <family val="2"/>
          </rPr>
          <t>Anzahl der Fälle aus der Budgetverhandlung</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14" authorId="0" shapeId="0" xr:uid="{6FC938CC-8CD5-4C52-9752-FE59D8FB7F65}">
      <text>
        <r>
          <rPr>
            <sz val="9"/>
            <color indexed="81"/>
            <rFont val="Segoe UI"/>
            <family val="2"/>
          </rPr>
          <t>Maßgeblich ist die laut Krankenhausplan ausgewiesene Anzahl der Planbetten und -plätze. In Bundesländern mit einer Krankenhausplanung ohne Ausweis von Planbetten/-plätze ist auf die in der Pflegesatz-/ Entgeltvereinbarung zugrunde gelegten Anzahl der aufgestellten Ist-Betten/-Plätze abzustellen</t>
        </r>
      </text>
    </comment>
    <comment ref="F46" authorId="0" shapeId="0" xr:uid="{067AED01-AD20-4155-9F0D-A0B7DE2B4587}">
      <text>
        <r>
          <rPr>
            <sz val="9"/>
            <color indexed="81"/>
            <rFont val="Segoe UI"/>
            <family val="2"/>
          </rPr>
          <t>Anzahl der Fälle aus der Budgetverhandlung</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15" authorId="0" shapeId="0" xr:uid="{B668E2D5-39A1-4A31-B394-D3583F0FF65D}">
      <text>
        <r>
          <rPr>
            <sz val="9"/>
            <color indexed="81"/>
            <rFont val="Segoe UI"/>
            <family val="2"/>
          </rPr>
          <t>Maßgeblich ist die laut Krankenhausplan ausgewiesene Anzahl der Planbetten und -plätze. In Bundesländern mit einer Krankenhausplanung ohne Ausweis von Planbetten/-plätze ist auf die in der Pflegesatz-/ Entgeltvereinbarung zugrunde gelegten Anzahl der aufgestellten Ist-Betten/-Plätze abzustellen</t>
        </r>
      </text>
    </comment>
    <comment ref="F48" authorId="0" shapeId="0" xr:uid="{EA53A6F9-48DE-46A7-8332-3D4CAAE18CCF}">
      <text>
        <r>
          <rPr>
            <sz val="9"/>
            <color indexed="81"/>
            <rFont val="Segoe UI"/>
            <family val="2"/>
          </rPr>
          <t>Anzahl der Fälle aus der Budgetverhandlung</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<sst xmlns="http://schemas.openxmlformats.org/spreadsheetml/2006/main" count="447" uniqueCount="137">
  <si>
    <t>Betten</t>
  </si>
  <si>
    <t>VK</t>
  </si>
  <si>
    <t>Notfallamb</t>
  </si>
  <si>
    <t>Erm. Amb</t>
  </si>
  <si>
    <t>FA</t>
  </si>
  <si>
    <t>STÄB-Teams</t>
  </si>
  <si>
    <t>KT-Auf</t>
  </si>
  <si>
    <t xml:space="preserve">KT-Amb </t>
  </si>
  <si>
    <t>KT-Med</t>
  </si>
  <si>
    <t>KT-Gesamt</t>
  </si>
  <si>
    <t>EBK</t>
  </si>
  <si>
    <t>RZK</t>
  </si>
  <si>
    <t>Konnektoren</t>
  </si>
  <si>
    <t>Admin-SW</t>
  </si>
  <si>
    <t>Kartenterminals</t>
  </si>
  <si>
    <t>Mobile KT</t>
  </si>
  <si>
    <t>Bereitstellung</t>
  </si>
  <si>
    <t>Anpassung SW</t>
  </si>
  <si>
    <t>Org. Anpassung</t>
  </si>
  <si>
    <t>Pauschale Betrieb</t>
  </si>
  <si>
    <t>Hardware</t>
  </si>
  <si>
    <t>VPN-Zugänge</t>
  </si>
  <si>
    <t>Betrieb</t>
  </si>
  <si>
    <t>SMC-B</t>
  </si>
  <si>
    <t>AN-SMC-B</t>
  </si>
  <si>
    <t>AN-SMC-FA</t>
  </si>
  <si>
    <t>AN-SMC-Ges</t>
  </si>
  <si>
    <t>DS-Auflage</t>
  </si>
  <si>
    <t>HBA</t>
  </si>
  <si>
    <t>HBAs</t>
  </si>
  <si>
    <t>Monate Betrieb</t>
  </si>
  <si>
    <t>Standorte</t>
  </si>
  <si>
    <t>Vereinbarte Fälle</t>
  </si>
  <si>
    <t>Volumen:</t>
  </si>
  <si>
    <t>Telematikzuschlag:</t>
  </si>
  <si>
    <t>Pro Jahr:</t>
  </si>
  <si>
    <t>Einmalig:</t>
  </si>
  <si>
    <t>Ist Folgejahr</t>
  </si>
  <si>
    <t>Berechnung Konnektoren</t>
  </si>
  <si>
    <t>Berechung SMC-B</t>
  </si>
  <si>
    <t>Nutze RZK*</t>
  </si>
  <si>
    <t>Pauschalen Erstausstattung</t>
  </si>
  <si>
    <t>wenn anteilig:</t>
  </si>
  <si>
    <t>N</t>
  </si>
  <si>
    <t>Berechung Kartenterminals</t>
  </si>
  <si>
    <r>
      <t xml:space="preserve">* Wenn die Anzahl der Kartenterminals </t>
    </r>
    <r>
      <rPr>
        <b/>
        <sz val="9"/>
        <color theme="1"/>
        <rFont val="Arial"/>
        <family val="2"/>
      </rPr>
      <t>50</t>
    </r>
    <r>
      <rPr>
        <sz val="9"/>
        <color theme="1"/>
        <rFont val="Arial"/>
        <family val="2"/>
      </rPr>
      <t xml:space="preserve"> erreicht, wird davon ausgegangen, dass der Betrieb von Rechenzentrumskonnektoren wirtschaftlicher ist</t>
    </r>
  </si>
  <si>
    <t>Eingabebereich
Grunddaten Krankenhaus</t>
  </si>
  <si>
    <t>ePA-Update</t>
  </si>
  <si>
    <t>eRezept-Integration</t>
  </si>
  <si>
    <t>Anpassung Netze</t>
  </si>
  <si>
    <t>Volumen Wechsel:</t>
  </si>
  <si>
    <t>ePA &amp; Sig.</t>
  </si>
  <si>
    <t>KT (alter Preis)</t>
  </si>
  <si>
    <t>* Wenn die Anzahl der Kartenterminals 50 erreicht, wird davon ausgegangen, dass der Betrieb von Rechenzentrumskonnektoren wirtschaftlicher ist</t>
  </si>
  <si>
    <t>KON (alter Preis)</t>
  </si>
  <si>
    <t>anteilig:</t>
  </si>
  <si>
    <t>Differenz</t>
  </si>
  <si>
    <t>Pauschaler Ergänzungsbetrag (§ 11 Abs. 4 FinV)</t>
  </si>
  <si>
    <t>pro Jahr:</t>
  </si>
  <si>
    <r>
      <rPr>
        <b/>
        <sz val="11"/>
        <color rgb="FFFF0000"/>
        <rFont val="Arial"/>
        <family val="2"/>
      </rPr>
      <t>§ 11 Abs. 4 FinV:</t>
    </r>
    <r>
      <rPr>
        <sz val="11"/>
        <color rgb="FFFF0000"/>
        <rFont val="Arial"/>
        <family val="2"/>
      </rPr>
      <t xml:space="preserve"> Wurde bereits eine Pauschale für die Erstausstattung für einzelne Anwendungen nach § 2 vereinbart </t>
    </r>
    <r>
      <rPr>
        <b/>
        <sz val="11"/>
        <color rgb="FFFF0000"/>
        <rFont val="Arial"/>
        <family val="2"/>
      </rPr>
      <t>[vgl. Kalkulator (alt)]</t>
    </r>
    <r>
      <rPr>
        <sz val="11"/>
        <color rgb="FFFF0000"/>
        <rFont val="Arial"/>
        <family val="2"/>
      </rPr>
      <t>, so steht dem Krankenhaus die Pauschale für die Erstausstattung für die weiteren Anwendungen als pauschaler Ergänzungsbetrag von der bisher vereinbarten Pauschale zu dem gemäß dieser Vereinbarung zustehenden Betrag in der nächsten Budget- und Entgeltvereinbarung zu.</t>
    </r>
  </si>
  <si>
    <t>J</t>
  </si>
  <si>
    <t>TI-Zuschlag</t>
  </si>
  <si>
    <t xml:space="preserve">für den Vereinbarungsstand vom 29.3.2019 </t>
  </si>
  <si>
    <t>Rechenhilfe zum Telematikzuschlag für Krankenhäuser nach § 291a Abs. 7a SGB V</t>
  </si>
  <si>
    <t>Rechenhilfe zum Telematikzuschlag für Krankenhäuser nach § 377 Abs. 3 SGB V</t>
  </si>
  <si>
    <t>für den Vereinbarungsstand vom 01.10.2020; gültig ab 10/2020</t>
  </si>
  <si>
    <t>Jahr 2022</t>
  </si>
  <si>
    <t>KT-KomSig (+)</t>
  </si>
  <si>
    <t>Aufsatz</t>
  </si>
  <si>
    <t xml:space="preserve"> Pauschaler Ergänzungsbetrag nach § 11 Abs. 4 FinV</t>
  </si>
  <si>
    <t>Für die Berechnung des pauschalen Ergänzungsbetrages nach § 11 Abs. 4 FinV wird keine Rechenhilfe mehr zur Verfügung gestellt. Der pauschale Ergänzungsbetrag muss im Einzelfall berechnet werden und kann wegen der vielen unterschiedlichen Parameter nicht verallgemeinert werden.</t>
  </si>
  <si>
    <t>KT-Aufs.</t>
  </si>
  <si>
    <t xml:space="preserve">für den Vereinbarungsstand vom 01.04.2022; gültig ab 04/2022; </t>
  </si>
  <si>
    <t>für den Vereinbarungsstand vom 01.04.2022; neue Konnektorpauschale ab 01.01.2022</t>
  </si>
  <si>
    <t>Die aktuelle Fortschreibung der Finanzierungsvereinbarung gilt ab dem 01.04.2022.  Für Beschaffungen und den Betrieb vor dem 01.10.2020 wird die Tabelle "Kalkulator bis 9_2020" ausgefüllt. Für die Beschaffung und den Betrieb nach dem 01.10.2020 und vor dem 01.01.2022 wird die Tabelle "Kalkulator 10_2020 - 12_2021" ausgefüllt. Für die Beschaffung und den Betrieb nach dem 01.04.2022 wird die neue Tabelle "Kalkulator ab 04_2022" ausgefüllt. Sind bereits in dem Gültigkeitszeitraum eines Kalkulators Beschaffungen für die Anwendungen NFDM usw. vorgenommen worden und werden zu einem Gültigkeitszeitraum Komponenten und Dienste für die ePA und die eVo beschafft, ist ein "Pauschaler Ergänzungsbetrag" nach § 11 Abs. 4 der Finanzierungsvereinbarung zu ermitteln. Der pauschale Ergänzungsbetrag muss im Einzelfall berechnet werden und kann wegen der vielen unterschiedlichen Parameter nicht verallgemeinert werden.</t>
  </si>
  <si>
    <t>Datum Start Vereinbarungszeitraum</t>
  </si>
  <si>
    <t xml:space="preserve">Datum Betriebsbeginn </t>
  </si>
  <si>
    <t>ePA (ab Version 3.0)</t>
  </si>
  <si>
    <t>NFDM / eMP</t>
  </si>
  <si>
    <t>KIM</t>
  </si>
  <si>
    <t>eAU</t>
  </si>
  <si>
    <t>eVerordnung</t>
  </si>
  <si>
    <t>Grundpauschale</t>
  </si>
  <si>
    <t>Voll</t>
  </si>
  <si>
    <t>Reduziert</t>
  </si>
  <si>
    <t>Zum 01.01.2024 verfügbar gewesen?</t>
  </si>
  <si>
    <t>Zum 01.01.2025 verfügbar gewesen?</t>
  </si>
  <si>
    <t>für den Vereinbarungsstand vom 01.04.2024; gültig ab 01/2024</t>
  </si>
  <si>
    <t>Monate ohne Abschlag für nichtverfügbare Anwendungen</t>
  </si>
  <si>
    <t>Monate mit 50%-Abschlag für eine nichtverfügbare Anwendung</t>
  </si>
  <si>
    <t>Monate mit 100%-Abschlag für zwei (oder mehr) nichtverfügbare Anwendungen</t>
  </si>
  <si>
    <t>Monate ohne Verfügbarkeit</t>
  </si>
  <si>
    <t>Kürzungsbetrag für nichtverfügbare Anwendungen im Vorjahr des Vereinbarungszeitraumes</t>
  </si>
  <si>
    <t>pro Monat</t>
  </si>
  <si>
    <t>Kürzungsbetrag für nichtverfügbare Anwendungen im Vorjahr 
des Vereinbarungszeitraumes</t>
  </si>
  <si>
    <t>Berechnungsmonate</t>
  </si>
  <si>
    <t>Bettenpauschale</t>
  </si>
  <si>
    <t>Gesamtbetrag</t>
  </si>
  <si>
    <r>
      <rPr>
        <u/>
        <sz val="11"/>
        <color theme="1"/>
        <rFont val="Calibri"/>
        <family val="2"/>
        <scheme val="minor"/>
      </rPr>
      <t xml:space="preserve">Wenn Nein: </t>
    </r>
    <r>
      <rPr>
        <sz val="11"/>
        <color theme="1"/>
        <rFont val="Calibri"/>
        <family val="2"/>
        <scheme val="minor"/>
      </rPr>
      <t xml:space="preserve">
Im Vorjahr des Vereinbarungszeitraums verfügbar geworden?</t>
    </r>
  </si>
  <si>
    <t>Finanzierungsbetrag für den Vereinbarungszeitraum 
(ohne Kürzung, ohne Ausgleiche)</t>
  </si>
  <si>
    <t>Finanzierungsbetrag für den Vereinbarungszeitraum (ohne Kürzung, ohne Ausgleiche)</t>
  </si>
  <si>
    <t>A: Ermittlung des Finanzierungsvolumens für das Vereinbarungsjahr</t>
  </si>
  <si>
    <t>B: Ermittlung der Kürzung wegen Nichtverfügbarkeit von Anwendungen im Vorjahr zum Vereinbarungsjahr</t>
  </si>
  <si>
    <t>Finanzierungsbetrag mit Kürzung und Ausgleichen</t>
  </si>
  <si>
    <t>C: Ermittlung des Telematikzuschlags inkl. einer etwaigen Kürzung und Ausgleichsbeträgen</t>
  </si>
  <si>
    <t>Fortschreibungsfaktor</t>
  </si>
  <si>
    <t>Monate im Vorjahr mit vollständiger bzw. reduzierter Finanzierung</t>
  </si>
  <si>
    <t>Ausgleich für Über- (-) oder Unterzahlung (+) aus Vorjahren (aus Nebenrechnung)</t>
  </si>
  <si>
    <t>für den Vereinbarungsstand vom 01.04.2024; gültig ab 01/2026</t>
  </si>
  <si>
    <t>für den Vereinbarungsstand vom 01.04.2024; gültig ab 01/2025</t>
  </si>
  <si>
    <t>Monate seit (+) bzw.
 bis (-) Betriebsbeginn</t>
  </si>
  <si>
    <r>
      <rPr>
        <u/>
        <sz val="11"/>
        <color theme="1"/>
        <rFont val="Calibri"/>
        <family val="2"/>
        <scheme val="minor"/>
      </rPr>
      <t>Wenn verfügbar geworden:</t>
    </r>
    <r>
      <rPr>
        <sz val="11"/>
        <color theme="1"/>
        <rFont val="Calibri"/>
        <family val="2"/>
        <scheme val="minor"/>
      </rPr>
      <t xml:space="preserve">
Ab wann?</t>
    </r>
  </si>
  <si>
    <t>Telematikzuschlag 2026</t>
  </si>
  <si>
    <t>Telematikzuschlag 2024</t>
  </si>
  <si>
    <t>Telematikzuschlag 2025</t>
  </si>
  <si>
    <t>B: Ermittlung des Telematikzuschlags inkl. einer etwaigen Kürzung und Ausgleichsbeträgen</t>
  </si>
  <si>
    <t>Finanzierungsbetrag mit Ausgleichen</t>
  </si>
  <si>
    <t>Veränderungswert für 2025 (%)</t>
  </si>
  <si>
    <t>Veränderungswert für 2026 (%)</t>
  </si>
  <si>
    <t>Jan</t>
  </si>
  <si>
    <t>Feb</t>
  </si>
  <si>
    <t>Mär</t>
  </si>
  <si>
    <t>Jun</t>
  </si>
  <si>
    <t>Jul</t>
  </si>
  <si>
    <t>Aug</t>
  </si>
  <si>
    <t>Sep</t>
  </si>
  <si>
    <t>Okt</t>
  </si>
  <si>
    <t>Nov</t>
  </si>
  <si>
    <t>Dez</t>
  </si>
  <si>
    <t>Apr</t>
  </si>
  <si>
    <t>Mai</t>
  </si>
  <si>
    <t>Nichtverfügbarkeit</t>
  </si>
  <si>
    <t>Anzahl betroffener Anwendungen</t>
  </si>
  <si>
    <t>Finanzierung: (V)oll oder (R)eduziert</t>
  </si>
  <si>
    <t>Veränderungswert für 2027 (%)</t>
  </si>
  <si>
    <t>Zum 01.01.2026 verfügbar gewesen?</t>
  </si>
  <si>
    <t>für den Vereinbarungsstand vom 01.04.2024; gültig ab 01/2027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</si>
</sst>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44" formatCode="_-* #,##0.00\ &quot;€&quot;_-;\-* #,##0.00\ &quot;€&quot;_-;_-* &quot;-&quot;??\ &quot;€&quot;_-;_-@_-"/>
    <numFmt numFmtId="164" formatCode="#,##0.00\ &quot;€&quot;"/>
    <numFmt numFmtId="165" formatCode="0.000"/>
    <numFmt numFmtId="166" formatCode="#,##0;\-#,##0;&quot;-&quot;"/>
  </numFmts>
  <fonts count="43"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Arial"/>
      <family val="2"/>
    </font>
    <font>
      <b/>
      <sz val="11"/>
      <color theme="1"/>
      <name val="Arial"/>
      <family val="2"/>
    </font>
    <font>
      <b/>
      <u/>
      <sz val="11"/>
      <color theme="1"/>
      <name val="Arial"/>
      <family val="2"/>
    </font>
    <font>
      <sz val="9"/>
      <color indexed="81"/>
      <name val="Tahoma"/>
      <family val="2"/>
    </font>
    <font>
      <b/>
      <sz val="9"/>
      <color indexed="81"/>
      <name val="Tahoma"/>
      <family val="2"/>
    </font>
    <font>
      <b/>
      <u/>
      <sz val="11"/>
      <name val="Arial"/>
      <family val="2"/>
    </font>
    <font>
      <sz val="9"/>
      <color theme="1"/>
      <name val="Arial"/>
      <family val="2"/>
    </font>
    <font>
      <b/>
      <sz val="9"/>
      <color theme="1"/>
      <name val="Arial"/>
      <family val="2"/>
    </font>
    <font>
      <sz val="14"/>
      <color theme="1"/>
      <name val="Arial"/>
      <family val="2"/>
    </font>
    <font>
      <b/>
      <sz val="12"/>
      <color theme="1"/>
      <name val="Arial"/>
      <family val="2"/>
    </font>
    <font>
      <sz val="9"/>
      <color indexed="81"/>
      <name val="Segoe UI"/>
      <family val="2"/>
    </font>
    <font>
      <b/>
      <sz val="9"/>
      <color indexed="81"/>
      <name val="Arial"/>
      <family val="2"/>
    </font>
    <font>
      <b/>
      <sz val="9"/>
      <color indexed="81"/>
      <name val="Segoe UI"/>
      <family val="2"/>
    </font>
    <font>
      <sz val="9"/>
      <color indexed="81"/>
      <name val="Arial"/>
      <family val="2"/>
    </font>
    <font>
      <sz val="11"/>
      <color rgb="FFFF0000"/>
      <name val="Arial"/>
      <family val="2"/>
    </font>
    <font>
      <b/>
      <sz val="11"/>
      <color rgb="FFFF0000"/>
      <name val="Arial"/>
      <family val="2"/>
    </font>
    <font>
      <b/>
      <sz val="11"/>
      <color rgb="FF00B050"/>
      <name val="Arial"/>
      <family val="2"/>
    </font>
    <font>
      <b/>
      <sz val="11"/>
      <color theme="1"/>
      <name val="Calibri"/>
      <family val="2"/>
      <scheme val="minor"/>
    </font>
    <font>
      <sz val="14"/>
      <color theme="1"/>
      <name val="Calibri"/>
      <family val="2"/>
      <scheme val="minor"/>
    </font>
    <font>
      <u/>
      <sz val="11"/>
      <color theme="1"/>
      <name val="Calibri"/>
      <family val="2"/>
      <scheme val="minor"/>
    </font>
    <font>
      <b/>
      <sz val="11"/>
      <name val="Calibri"/>
      <family val="2"/>
      <scheme val="minor"/>
    </font>
    <font>
      <b/>
      <u/>
      <sz val="11"/>
      <name val="Calibri"/>
      <family val="2"/>
      <scheme val="minor"/>
    </font>
    <font>
      <strike/>
      <sz val="11"/>
      <color theme="1"/>
      <name val="Calibri"/>
      <family val="2"/>
      <scheme val="minor"/>
    </font>
    <font>
      <sz val="12"/>
      <color theme="1"/>
      <name val="Calibri"/>
      <family val="2"/>
      <scheme val="minor"/>
    </font>
    <font>
      <b/>
      <sz val="12"/>
      <color theme="1"/>
      <name val="Calibri"/>
      <family val="2"/>
      <scheme val="minor"/>
    </font>
    <font>
      <sz val="11"/>
      <name val="Calibri"/>
      <family val="2"/>
      <scheme val="minor"/>
    </font>
    <font>
      <b/>
      <sz val="14"/>
      <color theme="1"/>
      <name val="Calibri"/>
      <family val="2"/>
      <scheme val="minor"/>
    </font>
    <font>
      <i/>
      <sz val="11"/>
      <color theme="1"/>
      <name val="Calibri"/>
      <family val="2"/>
      <scheme val="minor"/>
    </font>
  </fonts>
  <fills count="16">
    <fill>
      <patternFill patternType="none"/>
    </fill>
    <fill>
      <patternFill patternType="gray125"/>
    </fill>
    <fill>
      <patternFill patternType="solid">
        <fgColor theme="6" tint="0.39997558519241921"/>
        <bgColor indexed="64"/>
      </patternFill>
    </fill>
    <fill>
      <patternFill patternType="solid">
        <fgColor rgb="FF00B050"/>
        <bgColor indexed="64"/>
      </patternFill>
    </fill>
    <fill>
      <patternFill patternType="solid">
        <fgColor theme="9" tint="0.59999389629810485"/>
        <bgColor indexed="64"/>
      </patternFill>
    </fill>
    <fill>
      <patternFill patternType="solid">
        <fgColor theme="8"/>
        <bgColor indexed="64"/>
      </patternFill>
    </fill>
    <fill>
      <patternFill patternType="solid">
        <fgColor theme="9" tint="0.79998168889431442"/>
        <bgColor indexed="64"/>
      </patternFill>
    </fill>
    <fill>
      <patternFill patternType="solid">
        <fgColor theme="4"/>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8" tint="0.59999389629810485"/>
        <bgColor indexed="64"/>
      </patternFill>
    </fill>
    <fill>
      <patternFill patternType="lightGrid">
        <fgColor auto="1"/>
        <bgColor rgb="FFFFFFFF"/>
      </patternFill>
    </fill>
    <fill>
      <patternFill patternType="solid">
        <fgColor theme="3" tint="0.79998168889431442"/>
        <bgColor indexed="64"/>
      </patternFill>
    </fill>
    <fill>
      <patternFill patternType="solid">
        <fgColor theme="3" tint="0.59999389629810485"/>
        <bgColor indexed="64"/>
      </patternFill>
    </fill>
    <fill>
      <patternFill patternType="solid">
        <fgColor theme="0"/>
        <bgColor indexed="64"/>
      </patternFill>
    </fill>
    <fill>
      <patternFill patternType="solid">
        <fgColor rgb="FF00CC5C"/>
        <bgColor indexed="64"/>
      </patternFill>
    </fill>
  </fills>
  <borders count="31">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double">
        <color indexed="64"/>
      </bottom>
      <diagonal/>
    </border>
    <border>
      <left/>
      <right style="medium">
        <color indexed="64"/>
      </right>
      <top style="medium">
        <color indexed="64"/>
      </top>
      <bottom style="double">
        <color indexed="64"/>
      </bottom>
      <diagonal/>
    </border>
    <border>
      <left/>
      <right style="medium">
        <color indexed="64"/>
      </right>
      <top style="thin">
        <color indexed="64"/>
      </top>
      <bottom/>
      <diagonal/>
    </border>
    <border>
      <left/>
      <right style="medium">
        <color indexed="64"/>
      </right>
      <top style="double">
        <color indexed="64"/>
      </top>
      <bottom style="thin">
        <color indexed="64"/>
      </bottom>
      <diagonal/>
    </border>
    <border>
      <left/>
      <right style="medium">
        <color indexed="64"/>
      </right>
      <top style="double">
        <color indexed="64"/>
      </top>
      <bottom style="medium">
        <color indexed="64"/>
      </bottom>
      <diagonal/>
    </border>
    <border>
      <left/>
      <right style="medium">
        <color indexed="64"/>
      </right>
      <top style="medium">
        <color indexed="64"/>
      </top>
      <bottom style="medium">
        <color indexed="64"/>
      </bottom>
      <diagonal/>
    </border>
    <border>
      <left/>
      <right/>
      <top/>
      <bottom style="thin">
        <color theme="1" tint="0.499984740745262"/>
      </bottom>
      <diagonal/>
    </border>
    <border>
      <left/>
      <right/>
      <top style="thin">
        <color theme="1" tint="0.499984740745262"/>
      </top>
      <bottom/>
      <diagonal/>
    </border>
    <border>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top/>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top/>
      <bottom style="thin">
        <color theme="1" tint="0.499984740745262"/>
      </bottom>
      <diagonal/>
    </border>
    <border>
      <left style="thin">
        <color theme="1" tint="0.499984740745262"/>
      </left>
      <right/>
      <top/>
      <bottom style="thin">
        <color indexed="64"/>
      </bottom>
      <diagonal/>
    </border>
    <border>
      <left/>
      <right/>
      <top/>
      <bottom style="thin">
        <color indexed="64"/>
      </bottom>
      <diagonal/>
    </border>
  </borders>
  <cellStyleXfs count="3">
    <xf numFmtId="0" fontId="0" fillId="0" borderId="0"/>
    <xf numFmtId="44" fontId="15" fillId="0" borderId="0" applyFont="0" applyFill="0" applyBorder="0" applyAlignment="0" applyProtection="0"/>
    <xf numFmtId="9" fontId="15" fillId="0" borderId="0" applyFont="0" applyFill="0" applyBorder="0" applyAlignment="0" applyProtection="0"/>
  </cellStyleXfs>
  <cellXfs count="263">
    <xf numFmtId="0" fontId="0" fillId="0" borderId="0" xfId="0"/>
    <xf numFmtId="44" fontId="0" fillId="0" borderId="0" xfId="1" applyFont="1"/>
    <xf numFmtId="0" fontId="16" fillId="0" borderId="0" xfId="0" applyFont="1"/>
    <xf numFmtId="0" fontId="0" fillId="0" borderId="0" xfId="0" applyAlignment="1">
      <alignment vertical="top"/>
    </xf>
    <xf numFmtId="0" fontId="17" fillId="0" borderId="0" xfId="0" applyFont="1" applyAlignment="1">
      <alignment horizontal="center"/>
    </xf>
    <xf numFmtId="0" fontId="0" fillId="2" borderId="3" xfId="0" applyFill="1" applyBorder="1"/>
    <xf numFmtId="0" fontId="0" fillId="2" borderId="4" xfId="0" applyFill="1" applyBorder="1"/>
    <xf numFmtId="0" fontId="0" fillId="2" borderId="3" xfId="0" applyFill="1" applyBorder="1" applyAlignment="1">
      <alignment vertical="top"/>
    </xf>
    <xf numFmtId="0" fontId="0" fillId="2" borderId="5" xfId="0" applyFill="1" applyBorder="1" applyAlignment="1">
      <alignment vertical="top"/>
    </xf>
    <xf numFmtId="0" fontId="0" fillId="2" borderId="4" xfId="0" applyFill="1" applyBorder="1" applyAlignment="1">
      <alignment vertical="top"/>
    </xf>
    <xf numFmtId="0" fontId="0" fillId="2" borderId="6" xfId="0" applyFill="1" applyBorder="1" applyAlignment="1">
      <alignment vertical="top"/>
    </xf>
    <xf numFmtId="0" fontId="0" fillId="2" borderId="3" xfId="0" applyFill="1" applyBorder="1" applyAlignment="1">
      <alignment horizontal="right" vertical="top"/>
    </xf>
    <xf numFmtId="0" fontId="0" fillId="3" borderId="1" xfId="0" applyFill="1" applyBorder="1"/>
    <xf numFmtId="0" fontId="0" fillId="3" borderId="7" xfId="0" applyFill="1" applyBorder="1"/>
    <xf numFmtId="0" fontId="0" fillId="3" borderId="2" xfId="0" applyFill="1" applyBorder="1"/>
    <xf numFmtId="0" fontId="0" fillId="3" borderId="5" xfId="0" applyFill="1" applyBorder="1"/>
    <xf numFmtId="0" fontId="0" fillId="3" borderId="8" xfId="0" applyFill="1" applyBorder="1"/>
    <xf numFmtId="0" fontId="0" fillId="3" borderId="6" xfId="0" applyFill="1" applyBorder="1"/>
    <xf numFmtId="0" fontId="0" fillId="5" borderId="3" xfId="0" applyFill="1" applyBorder="1"/>
    <xf numFmtId="0" fontId="0" fillId="4" borderId="3" xfId="0" applyFill="1" applyBorder="1"/>
    <xf numFmtId="0" fontId="16" fillId="4" borderId="3" xfId="0" applyFont="1" applyFill="1" applyBorder="1" applyAlignment="1">
      <alignment vertical="top"/>
    </xf>
    <xf numFmtId="0" fontId="16" fillId="4" borderId="5" xfId="0" applyFont="1" applyFill="1" applyBorder="1" applyAlignment="1">
      <alignment vertical="top"/>
    </xf>
    <xf numFmtId="0" fontId="0" fillId="4" borderId="4" xfId="0" applyFill="1" applyBorder="1"/>
    <xf numFmtId="44" fontId="0" fillId="8" borderId="9" xfId="1" applyFont="1" applyFill="1" applyBorder="1" applyAlignment="1">
      <alignment vertical="top"/>
    </xf>
    <xf numFmtId="44" fontId="0" fillId="8" borderId="10" xfId="1" applyFont="1" applyFill="1" applyBorder="1" applyAlignment="1">
      <alignment vertical="top"/>
    </xf>
    <xf numFmtId="44" fontId="0" fillId="8" borderId="6" xfId="1" applyFont="1" applyFill="1" applyBorder="1" applyAlignment="1">
      <alignment vertical="top"/>
    </xf>
    <xf numFmtId="44" fontId="16" fillId="8" borderId="12" xfId="1" applyFont="1" applyFill="1" applyBorder="1" applyAlignment="1">
      <alignment vertical="top"/>
    </xf>
    <xf numFmtId="0" fontId="0" fillId="7" borderId="3" xfId="0" applyFill="1" applyBorder="1"/>
    <xf numFmtId="0" fontId="0" fillId="7" borderId="4" xfId="0" applyFill="1" applyBorder="1"/>
    <xf numFmtId="0" fontId="0" fillId="7" borderId="3" xfId="0" applyFill="1" applyBorder="1" applyAlignment="1">
      <alignment vertical="top"/>
    </xf>
    <xf numFmtId="0" fontId="0" fillId="7" borderId="4" xfId="0" applyFill="1" applyBorder="1" applyAlignment="1">
      <alignment vertical="top"/>
    </xf>
    <xf numFmtId="0" fontId="0" fillId="5" borderId="4" xfId="0" applyFill="1" applyBorder="1"/>
    <xf numFmtId="0" fontId="0" fillId="5" borderId="5" xfId="0" applyFill="1" applyBorder="1" applyAlignment="1">
      <alignment vertical="top"/>
    </xf>
    <xf numFmtId="0" fontId="0" fillId="5" borderId="3" xfId="0" applyFill="1" applyBorder="1" applyAlignment="1">
      <alignment vertical="top"/>
    </xf>
    <xf numFmtId="0" fontId="0" fillId="5" borderId="4" xfId="0" applyFill="1" applyBorder="1" applyAlignment="1">
      <alignment vertical="top"/>
    </xf>
    <xf numFmtId="0" fontId="0" fillId="9" borderId="10" xfId="0" applyFill="1" applyBorder="1" applyAlignment="1">
      <alignment vertical="top"/>
    </xf>
    <xf numFmtId="0" fontId="0" fillId="5" borderId="6" xfId="0" applyFill="1" applyBorder="1" applyAlignment="1">
      <alignment vertical="top"/>
    </xf>
    <xf numFmtId="0" fontId="0" fillId="10" borderId="9" xfId="0" applyFill="1" applyBorder="1" applyAlignment="1">
      <alignment vertical="top"/>
    </xf>
    <xf numFmtId="0" fontId="0" fillId="10" borderId="10" xfId="0" applyFill="1" applyBorder="1" applyAlignment="1">
      <alignment vertical="top"/>
    </xf>
    <xf numFmtId="0" fontId="0" fillId="10" borderId="4" xfId="0" applyFill="1" applyBorder="1" applyAlignment="1">
      <alignment vertical="top"/>
    </xf>
    <xf numFmtId="0" fontId="16" fillId="10" borderId="13" xfId="0" applyFont="1" applyFill="1" applyBorder="1" applyAlignment="1">
      <alignment vertical="top"/>
    </xf>
    <xf numFmtId="0" fontId="16" fillId="9" borderId="13" xfId="0" applyFont="1" applyFill="1" applyBorder="1" applyAlignment="1">
      <alignment horizontal="right" vertical="top"/>
    </xf>
    <xf numFmtId="0" fontId="0" fillId="10" borderId="14" xfId="0" applyFill="1" applyBorder="1" applyAlignment="1">
      <alignment vertical="top"/>
    </xf>
    <xf numFmtId="44" fontId="16" fillId="8" borderId="13" xfId="0" applyNumberFormat="1" applyFont="1" applyFill="1" applyBorder="1" applyAlignment="1">
      <alignment vertical="top"/>
    </xf>
    <xf numFmtId="0" fontId="0" fillId="6" borderId="10" xfId="0" applyFill="1" applyBorder="1" applyAlignment="1" applyProtection="1">
      <alignment horizontal="center" vertical="top"/>
      <protection locked="0"/>
    </xf>
    <xf numFmtId="44" fontId="0" fillId="8" borderId="15" xfId="0" applyNumberFormat="1" applyFill="1" applyBorder="1" applyAlignment="1">
      <alignment vertical="top"/>
    </xf>
    <xf numFmtId="8" fontId="0" fillId="2" borderId="4" xfId="1" applyNumberFormat="1" applyFont="1" applyFill="1" applyBorder="1" applyAlignment="1">
      <alignment vertical="top"/>
    </xf>
    <xf numFmtId="0" fontId="21" fillId="7" borderId="3" xfId="0" applyFont="1" applyFill="1" applyBorder="1" applyAlignment="1">
      <alignment horizontal="left" vertical="top" wrapText="1"/>
    </xf>
    <xf numFmtId="0" fontId="21" fillId="7" borderId="4" xfId="0" applyFont="1" applyFill="1" applyBorder="1" applyAlignment="1">
      <alignment horizontal="left" vertical="top" wrapText="1"/>
    </xf>
    <xf numFmtId="0" fontId="0" fillId="2" borderId="5" xfId="0" applyFill="1" applyBorder="1" applyAlignment="1">
      <alignment horizontal="right" vertical="top"/>
    </xf>
    <xf numFmtId="3" fontId="0" fillId="6" borderId="11" xfId="0" applyNumberFormat="1" applyFill="1" applyBorder="1" applyAlignment="1" applyProtection="1">
      <alignment horizontal="center" vertical="top"/>
      <protection locked="0"/>
    </xf>
    <xf numFmtId="0" fontId="0" fillId="0" borderId="8" xfId="0" applyBorder="1" applyAlignment="1">
      <alignment vertical="top"/>
    </xf>
    <xf numFmtId="8" fontId="0" fillId="2" borderId="6" xfId="1" applyNumberFormat="1" applyFont="1" applyFill="1" applyBorder="1" applyAlignment="1">
      <alignment vertical="top"/>
    </xf>
    <xf numFmtId="0" fontId="16" fillId="4" borderId="3" xfId="0" applyFont="1" applyFill="1" applyBorder="1" applyAlignment="1">
      <alignment vertical="top" wrapText="1"/>
    </xf>
    <xf numFmtId="0" fontId="0" fillId="11" borderId="0" xfId="0" applyFill="1"/>
    <xf numFmtId="0" fontId="16" fillId="11" borderId="0" xfId="0" applyFont="1" applyFill="1"/>
    <xf numFmtId="0" fontId="17" fillId="11" borderId="0" xfId="0" applyFont="1" applyFill="1" applyAlignment="1">
      <alignment horizontal="center"/>
    </xf>
    <xf numFmtId="0" fontId="0" fillId="11" borderId="3" xfId="0" applyFill="1" applyBorder="1"/>
    <xf numFmtId="0" fontId="0" fillId="11" borderId="4" xfId="0" applyFill="1" applyBorder="1"/>
    <xf numFmtId="0" fontId="16" fillId="11" borderId="3" xfId="0" applyFont="1" applyFill="1" applyBorder="1" applyAlignment="1">
      <alignment vertical="top"/>
    </xf>
    <xf numFmtId="0" fontId="0" fillId="11" borderId="10" xfId="0" applyFill="1" applyBorder="1" applyAlignment="1" applyProtection="1">
      <alignment horizontal="center" vertical="top"/>
      <protection locked="0"/>
    </xf>
    <xf numFmtId="0" fontId="0" fillId="11" borderId="0" xfId="0" applyFill="1" applyAlignment="1">
      <alignment vertical="top"/>
    </xf>
    <xf numFmtId="0" fontId="0" fillId="11" borderId="3" xfId="0" applyFill="1" applyBorder="1" applyAlignment="1">
      <alignment vertical="top"/>
    </xf>
    <xf numFmtId="0" fontId="0" fillId="11" borderId="10" xfId="0" applyFill="1" applyBorder="1" applyAlignment="1">
      <alignment vertical="top"/>
    </xf>
    <xf numFmtId="44" fontId="0" fillId="11" borderId="10" xfId="1" applyFont="1" applyFill="1" applyBorder="1" applyAlignment="1">
      <alignment vertical="top"/>
    </xf>
    <xf numFmtId="0" fontId="0" fillId="11" borderId="9" xfId="0" applyFill="1" applyBorder="1" applyAlignment="1">
      <alignment vertical="top"/>
    </xf>
    <xf numFmtId="0" fontId="0" fillId="11" borderId="4" xfId="0" applyFill="1" applyBorder="1" applyAlignment="1">
      <alignment vertical="top"/>
    </xf>
    <xf numFmtId="0" fontId="16" fillId="11" borderId="13" xfId="0" applyFont="1" applyFill="1" applyBorder="1" applyAlignment="1">
      <alignment vertical="top"/>
    </xf>
    <xf numFmtId="0" fontId="16" fillId="11" borderId="13" xfId="0" applyFont="1" applyFill="1" applyBorder="1" applyAlignment="1">
      <alignment horizontal="right" vertical="top"/>
    </xf>
    <xf numFmtId="44" fontId="0" fillId="11" borderId="9" xfId="1" applyFont="1" applyFill="1" applyBorder="1" applyAlignment="1">
      <alignment vertical="top"/>
    </xf>
    <xf numFmtId="0" fontId="21" fillId="11" borderId="3" xfId="0" applyFont="1" applyFill="1" applyBorder="1" applyAlignment="1">
      <alignment horizontal="left" vertical="top" wrapText="1"/>
    </xf>
    <xf numFmtId="0" fontId="21" fillId="11" borderId="4" xfId="0" applyFont="1" applyFill="1" applyBorder="1" applyAlignment="1">
      <alignment horizontal="left" vertical="top" wrapText="1"/>
    </xf>
    <xf numFmtId="44" fontId="0" fillId="11" borderId="6" xfId="1" applyFont="1" applyFill="1" applyBorder="1" applyAlignment="1">
      <alignment vertical="top"/>
    </xf>
    <xf numFmtId="3" fontId="0" fillId="11" borderId="10" xfId="0" applyNumberFormat="1" applyFill="1" applyBorder="1" applyAlignment="1" applyProtection="1">
      <alignment horizontal="center" vertical="top"/>
      <protection locked="0"/>
    </xf>
    <xf numFmtId="0" fontId="0" fillId="11" borderId="14" xfId="0" applyFill="1" applyBorder="1" applyAlignment="1">
      <alignment vertical="top"/>
    </xf>
    <xf numFmtId="0" fontId="0" fillId="11" borderId="3" xfId="0" applyFill="1" applyBorder="1" applyAlignment="1">
      <alignment horizontal="right" vertical="top"/>
    </xf>
    <xf numFmtId="44" fontId="16" fillId="11" borderId="12" xfId="1" applyFont="1" applyFill="1" applyBorder="1" applyAlignment="1">
      <alignment vertical="top"/>
    </xf>
    <xf numFmtId="0" fontId="16" fillId="11" borderId="5" xfId="0" applyFont="1" applyFill="1" applyBorder="1" applyAlignment="1">
      <alignment vertical="top"/>
    </xf>
    <xf numFmtId="0" fontId="0" fillId="11" borderId="11" xfId="0" applyFill="1" applyBorder="1" applyAlignment="1" applyProtection="1">
      <alignment horizontal="center" vertical="top"/>
      <protection locked="0"/>
    </xf>
    <xf numFmtId="0" fontId="0" fillId="11" borderId="5" xfId="0" applyFill="1" applyBorder="1" applyAlignment="1">
      <alignment vertical="top"/>
    </xf>
    <xf numFmtId="0" fontId="16" fillId="11" borderId="17" xfId="0" applyFont="1" applyFill="1" applyBorder="1" applyAlignment="1">
      <alignment vertical="top"/>
    </xf>
    <xf numFmtId="0" fontId="0" fillId="11" borderId="5" xfId="0" applyFill="1" applyBorder="1" applyAlignment="1">
      <alignment horizontal="right" vertical="top"/>
    </xf>
    <xf numFmtId="8" fontId="0" fillId="11" borderId="16" xfId="1" applyNumberFormat="1" applyFont="1" applyFill="1" applyBorder="1" applyAlignment="1">
      <alignment vertical="top"/>
    </xf>
    <xf numFmtId="0" fontId="0" fillId="11" borderId="1" xfId="0" applyFill="1" applyBorder="1"/>
    <xf numFmtId="0" fontId="0" fillId="11" borderId="7" xfId="0" applyFill="1" applyBorder="1"/>
    <xf numFmtId="164" fontId="24" fillId="11" borderId="7" xfId="0" applyNumberFormat="1" applyFont="1" applyFill="1" applyBorder="1"/>
    <xf numFmtId="0" fontId="0" fillId="11" borderId="5" xfId="0" applyFill="1" applyBorder="1"/>
    <xf numFmtId="0" fontId="0" fillId="11" borderId="8" xfId="0" applyFill="1" applyBorder="1"/>
    <xf numFmtId="0" fontId="24" fillId="11" borderId="8" xfId="0" applyFont="1" applyFill="1" applyBorder="1" applyAlignment="1">
      <alignment horizontal="right"/>
    </xf>
    <xf numFmtId="164" fontId="24" fillId="11" borderId="8" xfId="0" applyNumberFormat="1" applyFont="1" applyFill="1" applyBorder="1"/>
    <xf numFmtId="0" fontId="16" fillId="10" borderId="2" xfId="0" applyFont="1" applyFill="1" applyBorder="1" applyAlignment="1">
      <alignment vertical="top"/>
    </xf>
    <xf numFmtId="0" fontId="0" fillId="5" borderId="0" xfId="0" applyFill="1" applyAlignment="1">
      <alignment vertical="top"/>
    </xf>
    <xf numFmtId="0" fontId="0" fillId="5" borderId="8" xfId="0" applyFill="1" applyBorder="1" applyAlignment="1">
      <alignment vertical="top"/>
    </xf>
    <xf numFmtId="0" fontId="0" fillId="14" borderId="0" xfId="0" applyFill="1"/>
    <xf numFmtId="0" fontId="14" fillId="0" borderId="0" xfId="0" applyFont="1"/>
    <xf numFmtId="0" fontId="36" fillId="12" borderId="0" xfId="0" applyFont="1" applyFill="1" applyAlignment="1">
      <alignment horizontal="left" vertical="center" wrapText="1"/>
    </xf>
    <xf numFmtId="0" fontId="14" fillId="12" borderId="0" xfId="0" applyFont="1" applyFill="1"/>
    <xf numFmtId="0" fontId="14" fillId="12" borderId="0" xfId="0" applyFont="1" applyFill="1" applyAlignment="1">
      <alignment horizontal="left" vertical="top" indent="1"/>
    </xf>
    <xf numFmtId="14" fontId="14" fillId="12" borderId="0" xfId="0" applyNumberFormat="1" applyFont="1" applyFill="1" applyAlignment="1" applyProtection="1">
      <alignment horizontal="center" vertical="top"/>
      <protection locked="0"/>
    </xf>
    <xf numFmtId="0" fontId="14" fillId="12" borderId="0" xfId="0" applyFont="1" applyFill="1" applyAlignment="1">
      <alignment horizontal="left" vertical="top" wrapText="1" indent="1"/>
    </xf>
    <xf numFmtId="14" fontId="14" fillId="13" borderId="0" xfId="0" applyNumberFormat="1" applyFont="1" applyFill="1" applyAlignment="1" applyProtection="1">
      <alignment horizontal="center" vertical="top"/>
      <protection locked="0"/>
    </xf>
    <xf numFmtId="0" fontId="14" fillId="12" borderId="0" xfId="0" applyFont="1" applyFill="1" applyAlignment="1">
      <alignment horizontal="left" indent="1"/>
    </xf>
    <xf numFmtId="0" fontId="14" fillId="12" borderId="0" xfId="0" applyFont="1" applyFill="1" applyAlignment="1">
      <alignment vertical="top"/>
    </xf>
    <xf numFmtId="0" fontId="14" fillId="12" borderId="0" xfId="0" applyFont="1" applyFill="1" applyAlignment="1">
      <alignment horizontal="right" vertical="center"/>
    </xf>
    <xf numFmtId="0" fontId="14" fillId="13" borderId="0" xfId="0" applyFont="1" applyFill="1" applyAlignment="1" applyProtection="1">
      <alignment horizontal="right" vertical="top" indent="1"/>
      <protection locked="0"/>
    </xf>
    <xf numFmtId="44" fontId="14" fillId="12" borderId="0" xfId="1" applyFont="1" applyFill="1" applyBorder="1" applyAlignment="1">
      <alignment horizontal="center" vertical="center"/>
    </xf>
    <xf numFmtId="0" fontId="37" fillId="12" borderId="0" xfId="0" applyFont="1" applyFill="1" applyAlignment="1">
      <alignment vertical="top"/>
    </xf>
    <xf numFmtId="0" fontId="14" fillId="12" borderId="0" xfId="0" applyFont="1" applyFill="1" applyAlignment="1">
      <alignment horizontal="right"/>
    </xf>
    <xf numFmtId="0" fontId="14" fillId="12" borderId="0" xfId="0" applyFont="1" applyFill="1" applyAlignment="1">
      <alignment vertical="top" wrapText="1"/>
    </xf>
    <xf numFmtId="0" fontId="37" fillId="14" borderId="0" xfId="0" applyFont="1" applyFill="1" applyAlignment="1">
      <alignment vertical="top"/>
    </xf>
    <xf numFmtId="0" fontId="14" fillId="14" borderId="0" xfId="0" applyFont="1" applyFill="1"/>
    <xf numFmtId="3" fontId="14" fillId="12" borderId="0" xfId="0" applyNumberFormat="1" applyFont="1" applyFill="1" applyAlignment="1" applyProtection="1">
      <alignment horizontal="center" vertical="top"/>
      <protection locked="0"/>
    </xf>
    <xf numFmtId="0" fontId="32" fillId="0" borderId="0" xfId="0" applyFont="1" applyAlignment="1">
      <alignment vertical="top"/>
    </xf>
    <xf numFmtId="3" fontId="14" fillId="0" borderId="0" xfId="0" applyNumberFormat="1" applyFont="1" applyAlignment="1" applyProtection="1">
      <alignment horizontal="center" vertical="top"/>
      <protection locked="0"/>
    </xf>
    <xf numFmtId="0" fontId="14" fillId="0" borderId="0" xfId="0" applyFont="1" applyAlignment="1">
      <alignment vertical="top"/>
    </xf>
    <xf numFmtId="0" fontId="32" fillId="12" borderId="0" xfId="0" applyFont="1" applyFill="1" applyAlignment="1">
      <alignment horizontal="left" vertical="top" indent="1"/>
    </xf>
    <xf numFmtId="44" fontId="14" fillId="12" borderId="0" xfId="0" applyNumberFormat="1" applyFont="1" applyFill="1" applyAlignment="1">
      <alignment horizontal="center" vertical="top"/>
    </xf>
    <xf numFmtId="44" fontId="14" fillId="13" borderId="0" xfId="0" applyNumberFormat="1" applyFont="1" applyFill="1" applyAlignment="1">
      <alignment horizontal="center" vertical="top"/>
    </xf>
    <xf numFmtId="44" fontId="32" fillId="12" borderId="0" xfId="0" applyNumberFormat="1" applyFont="1" applyFill="1" applyAlignment="1">
      <alignment horizontal="center" vertical="top"/>
    </xf>
    <xf numFmtId="3" fontId="14" fillId="13" borderId="0" xfId="0" applyNumberFormat="1" applyFont="1" applyFill="1" applyAlignment="1" applyProtection="1">
      <alignment horizontal="center" vertical="top"/>
      <protection locked="0"/>
    </xf>
    <xf numFmtId="0" fontId="14" fillId="12" borderId="18" xfId="0" applyFont="1" applyFill="1" applyBorder="1"/>
    <xf numFmtId="0" fontId="14" fillId="12" borderId="18" xfId="0" applyFont="1" applyFill="1" applyBorder="1" applyAlignment="1">
      <alignment horizontal="center" vertical="center"/>
    </xf>
    <xf numFmtId="0" fontId="14" fillId="12" borderId="18" xfId="0" applyFont="1" applyFill="1" applyBorder="1" applyAlignment="1">
      <alignment vertical="top" wrapText="1"/>
    </xf>
    <xf numFmtId="0" fontId="14" fillId="12" borderId="20" xfId="0" applyFont="1" applyFill="1" applyBorder="1" applyAlignment="1">
      <alignment horizontal="left" vertical="top" indent="1"/>
    </xf>
    <xf numFmtId="0" fontId="14" fillId="12" borderId="19" xfId="0" applyFont="1" applyFill="1" applyBorder="1"/>
    <xf numFmtId="0" fontId="14" fillId="13" borderId="0" xfId="0" applyFont="1" applyFill="1" applyAlignment="1">
      <alignment horizontal="center" vertical="center"/>
    </xf>
    <xf numFmtId="0" fontId="14" fillId="12" borderId="19" xfId="0" applyFont="1" applyFill="1" applyBorder="1" applyAlignment="1">
      <alignment horizontal="center" vertical="center"/>
    </xf>
    <xf numFmtId="0" fontId="14" fillId="12" borderId="21" xfId="0" applyFont="1" applyFill="1" applyBorder="1" applyAlignment="1">
      <alignment horizontal="center" vertical="center" wrapText="1"/>
    </xf>
    <xf numFmtId="14" fontId="40" fillId="13" borderId="20" xfId="0" applyNumberFormat="1" applyFont="1" applyFill="1" applyBorder="1" applyAlignment="1" applyProtection="1">
      <alignment horizontal="center" vertical="center"/>
      <protection locked="0"/>
    </xf>
    <xf numFmtId="0" fontId="14" fillId="13" borderId="20" xfId="0" applyFont="1" applyFill="1" applyBorder="1" applyAlignment="1">
      <alignment horizontal="center" vertical="center"/>
    </xf>
    <xf numFmtId="0" fontId="14" fillId="13" borderId="22" xfId="0" applyFont="1" applyFill="1" applyBorder="1" applyAlignment="1">
      <alignment horizontal="center" vertical="center"/>
    </xf>
    <xf numFmtId="14" fontId="40" fillId="13" borderId="19" xfId="0" applyNumberFormat="1" applyFont="1" applyFill="1" applyBorder="1" applyAlignment="1" applyProtection="1">
      <alignment horizontal="center" vertical="center"/>
      <protection locked="0"/>
    </xf>
    <xf numFmtId="0" fontId="14" fillId="13" borderId="23" xfId="0" applyFont="1" applyFill="1" applyBorder="1" applyAlignment="1">
      <alignment horizontal="center" vertical="center"/>
    </xf>
    <xf numFmtId="0" fontId="14" fillId="12" borderId="19" xfId="0" applyFont="1" applyFill="1" applyBorder="1" applyAlignment="1">
      <alignment horizontal="center" vertical="center" wrapText="1"/>
    </xf>
    <xf numFmtId="0" fontId="14" fillId="13" borderId="21" xfId="0" applyFont="1" applyFill="1" applyBorder="1" applyAlignment="1">
      <alignment horizontal="center" vertical="center"/>
    </xf>
    <xf numFmtId="0" fontId="14" fillId="12" borderId="21" xfId="0" applyFont="1" applyFill="1" applyBorder="1" applyAlignment="1">
      <alignment horizontal="center" vertical="center"/>
    </xf>
    <xf numFmtId="0" fontId="14" fillId="12" borderId="19" xfId="0" applyFont="1" applyFill="1" applyBorder="1" applyAlignment="1">
      <alignment horizontal="right" wrapText="1"/>
    </xf>
    <xf numFmtId="44" fontId="41" fillId="15" borderId="0" xfId="0" applyNumberFormat="1" applyFont="1" applyFill="1" applyAlignment="1">
      <alignment horizontal="center" vertical="center"/>
    </xf>
    <xf numFmtId="44" fontId="39" fillId="15" borderId="0" xfId="1" applyFont="1" applyFill="1" applyBorder="1" applyAlignment="1" applyProtection="1">
      <alignment horizontal="center" vertical="center"/>
    </xf>
    <xf numFmtId="0" fontId="13" fillId="12" borderId="0" xfId="0" applyFont="1" applyFill="1" applyAlignment="1">
      <alignment horizontal="left" vertical="top" indent="1"/>
    </xf>
    <xf numFmtId="10" fontId="14" fillId="13" borderId="0" xfId="2" applyNumberFormat="1" applyFont="1" applyFill="1"/>
    <xf numFmtId="0" fontId="12" fillId="12" borderId="0" xfId="0" applyFont="1" applyFill="1" applyAlignment="1">
      <alignment horizontal="right" vertical="center"/>
    </xf>
    <xf numFmtId="0" fontId="0" fillId="12" borderId="0" xfId="0" applyFill="1"/>
    <xf numFmtId="0" fontId="12" fillId="12" borderId="0" xfId="0" applyFont="1" applyFill="1" applyAlignment="1">
      <alignment horizontal="right" wrapText="1"/>
    </xf>
    <xf numFmtId="165" fontId="14" fillId="12" borderId="0" xfId="0" applyNumberFormat="1" applyFont="1" applyFill="1" applyAlignment="1">
      <alignment horizontal="center" vertical="center"/>
    </xf>
    <xf numFmtId="0" fontId="12" fillId="12" borderId="0" xfId="0" applyFont="1" applyFill="1" applyAlignment="1">
      <alignment horizontal="center" vertical="center"/>
    </xf>
    <xf numFmtId="166" fontId="14" fillId="12" borderId="0" xfId="0" applyNumberFormat="1" applyFont="1" applyFill="1" applyAlignment="1">
      <alignment horizontal="center" vertical="center"/>
    </xf>
    <xf numFmtId="0" fontId="11" fillId="12" borderId="0" xfId="0" applyFont="1" applyFill="1" applyAlignment="1">
      <alignment horizontal="left" vertical="top" indent="1"/>
    </xf>
    <xf numFmtId="14" fontId="40" fillId="13" borderId="0" xfId="0" applyNumberFormat="1" applyFont="1" applyFill="1" applyAlignment="1" applyProtection="1">
      <alignment horizontal="center" vertical="top"/>
      <protection locked="0"/>
    </xf>
    <xf numFmtId="0" fontId="8" fillId="12" borderId="0" xfId="0" applyFont="1" applyFill="1" applyAlignment="1">
      <alignment horizontal="center" vertical="center" wrapText="1"/>
    </xf>
    <xf numFmtId="0" fontId="7" fillId="12" borderId="0" xfId="0" applyFont="1" applyFill="1" applyAlignment="1">
      <alignment horizontal="left" vertical="top" indent="1"/>
    </xf>
    <xf numFmtId="0" fontId="0" fillId="0" borderId="0" xfId="0" quotePrefix="1"/>
    <xf numFmtId="166" fontId="0" fillId="0" borderId="0" xfId="0" applyNumberFormat="1"/>
    <xf numFmtId="44" fontId="0" fillId="0" borderId="0" xfId="0" applyNumberFormat="1"/>
    <xf numFmtId="0" fontId="12" fillId="12" borderId="0" xfId="0" applyFont="1" applyFill="1" applyAlignment="1">
      <alignment horizontal="center"/>
    </xf>
    <xf numFmtId="0" fontId="6" fillId="12" borderId="0" xfId="0" applyFont="1" applyFill="1" applyAlignment="1">
      <alignment horizontal="left" vertical="top" wrapText="1" indent="1"/>
    </xf>
    <xf numFmtId="10" fontId="9" fillId="12" borderId="0" xfId="2" applyNumberFormat="1" applyFont="1" applyFill="1"/>
    <xf numFmtId="10" fontId="14" fillId="12" borderId="0" xfId="2" applyNumberFormat="1" applyFont="1" applyFill="1"/>
    <xf numFmtId="0" fontId="5" fillId="14" borderId="0" xfId="0" applyFont="1" applyFill="1" applyAlignment="1">
      <alignment horizontal="center" vertical="center" wrapText="1"/>
    </xf>
    <xf numFmtId="0" fontId="16" fillId="14" borderId="0" xfId="0" applyFont="1" applyFill="1"/>
    <xf numFmtId="0" fontId="0" fillId="14" borderId="0" xfId="0" applyFill="1" applyAlignment="1">
      <alignment horizontal="center"/>
    </xf>
    <xf numFmtId="0" fontId="4" fillId="12" borderId="0" xfId="0" applyFont="1" applyFill="1" applyAlignment="1">
      <alignment horizontal="center" vertical="center" wrapText="1"/>
    </xf>
    <xf numFmtId="0" fontId="32" fillId="12" borderId="0" xfId="0" applyFont="1" applyFill="1" applyAlignment="1">
      <alignment horizontal="center" vertical="center" wrapText="1"/>
    </xf>
    <xf numFmtId="0" fontId="4" fillId="12" borderId="0" xfId="0" applyFont="1" applyFill="1"/>
    <xf numFmtId="0" fontId="4" fillId="12" borderId="0" xfId="0" applyFont="1" applyFill="1" applyAlignment="1">
      <alignment horizontal="left"/>
    </xf>
    <xf numFmtId="0" fontId="4" fillId="14" borderId="0" xfId="0" applyFont="1" applyFill="1" applyAlignment="1">
      <alignment horizontal="left"/>
    </xf>
    <xf numFmtId="0" fontId="4" fillId="14" borderId="0" xfId="0" applyFont="1" applyFill="1"/>
    <xf numFmtId="0" fontId="14" fillId="12" borderId="0" xfId="0" applyFont="1" applyFill="1" applyAlignment="1">
      <alignment horizontal="center" vertical="center"/>
    </xf>
    <xf numFmtId="0" fontId="14" fillId="12" borderId="0" xfId="0" applyFont="1" applyFill="1" applyAlignment="1">
      <alignment horizontal="right" wrapText="1"/>
    </xf>
    <xf numFmtId="0" fontId="3" fillId="13" borderId="23" xfId="0" applyFont="1" applyFill="1" applyBorder="1" applyAlignment="1">
      <alignment horizontal="center" vertical="center"/>
    </xf>
    <xf numFmtId="0" fontId="42" fillId="12" borderId="0" xfId="0" applyFont="1" applyFill="1" applyAlignment="1">
      <alignment horizontal="right" wrapText="1"/>
    </xf>
    <xf numFmtId="0" fontId="0" fillId="14" borderId="0" xfId="0" quotePrefix="1" applyFill="1"/>
    <xf numFmtId="0" fontId="14" fillId="12" borderId="0" xfId="0" applyFont="1" applyFill="1" applyAlignment="1">
      <alignment horizontal="center"/>
    </xf>
    <xf numFmtId="0" fontId="40" fillId="12" borderId="0" xfId="0" applyFont="1" applyFill="1" applyAlignment="1">
      <alignment horizontal="center"/>
    </xf>
    <xf numFmtId="0" fontId="4" fillId="12" borderId="26" xfId="0" applyFont="1" applyFill="1" applyBorder="1"/>
    <xf numFmtId="0" fontId="4" fillId="12" borderId="24" xfId="0" applyFont="1" applyFill="1" applyBorder="1"/>
    <xf numFmtId="0" fontId="4" fillId="12" borderId="27" xfId="0" applyFont="1" applyFill="1" applyBorder="1"/>
    <xf numFmtId="0" fontId="4" fillId="12" borderId="21" xfId="0" applyFont="1" applyFill="1" applyBorder="1"/>
    <xf numFmtId="0" fontId="4" fillId="12" borderId="19" xfId="0" applyFont="1" applyFill="1" applyBorder="1"/>
    <xf numFmtId="0" fontId="4" fillId="12" borderId="25" xfId="0" applyFont="1" applyFill="1" applyBorder="1"/>
    <xf numFmtId="0" fontId="4" fillId="12" borderId="28" xfId="0" applyFont="1" applyFill="1" applyBorder="1"/>
    <xf numFmtId="0" fontId="4" fillId="12" borderId="18" xfId="0" applyFont="1" applyFill="1" applyBorder="1"/>
    <xf numFmtId="0" fontId="4" fillId="12" borderId="28" xfId="0" applyFont="1" applyFill="1" applyBorder="1" applyAlignment="1">
      <alignment horizontal="center" vertical="center" wrapText="1"/>
    </xf>
    <xf numFmtId="0" fontId="14" fillId="12" borderId="0" xfId="0" applyFont="1" applyFill="1" applyAlignment="1">
      <alignment horizontal="center" vertical="center"/>
    </xf>
    <xf numFmtId="0" fontId="14" fillId="12" borderId="0" xfId="0" applyFont="1" applyFill="1" applyAlignment="1">
      <alignment horizontal="right" wrapText="1"/>
    </xf>
    <xf numFmtId="0" fontId="4" fillId="12" borderId="25" xfId="0" applyFont="1" applyFill="1" applyBorder="1" applyAlignment="1">
      <alignment horizontal="right"/>
    </xf>
    <xf numFmtId="0" fontId="4" fillId="12" borderId="0" xfId="0" applyFont="1" applyFill="1" applyAlignment="1">
      <alignment horizontal="right"/>
    </xf>
    <xf numFmtId="0" fontId="4" fillId="12" borderId="29" xfId="0" applyFont="1" applyFill="1" applyBorder="1"/>
    <xf numFmtId="0" fontId="4" fillId="12" borderId="30" xfId="0" applyFont="1" applyFill="1" applyBorder="1"/>
    <xf numFmtId="0" fontId="2" fillId="12" borderId="0" xfId="0" applyFont="1" applyFill="1" applyAlignment="1">
      <alignment horizontal="left" vertical="top" wrapText="1" indent="1"/>
    </xf>
    <xf numFmtId="0" fontId="0" fillId="0" borderId="0" xfId="0" applyAlignment="1">
      <alignment wrapText="1"/>
    </xf>
    <xf numFmtId="0" fontId="23" fillId="0" borderId="0" xfId="0" applyFont="1" applyAlignment="1">
      <alignment horizontal="center"/>
    </xf>
    <xf numFmtId="0" fontId="0" fillId="0" borderId="0" xfId="0" applyAlignment="1">
      <alignment horizontal="center"/>
    </xf>
    <xf numFmtId="0" fontId="24" fillId="3" borderId="8" xfId="0" applyFont="1" applyFill="1" applyBorder="1" applyAlignment="1">
      <alignment horizontal="right"/>
    </xf>
    <xf numFmtId="0" fontId="17" fillId="5" borderId="3" xfId="0" applyFont="1" applyFill="1" applyBorder="1" applyAlignment="1">
      <alignment horizontal="center"/>
    </xf>
    <xf numFmtId="0" fontId="17" fillId="5" borderId="4" xfId="0" applyFont="1" applyFill="1" applyBorder="1" applyAlignment="1">
      <alignment horizontal="center"/>
    </xf>
    <xf numFmtId="0" fontId="21" fillId="7" borderId="3" xfId="0" applyFont="1" applyFill="1" applyBorder="1" applyAlignment="1">
      <alignment horizontal="left" vertical="top" wrapText="1"/>
    </xf>
    <xf numFmtId="0" fontId="21" fillId="7" borderId="4" xfId="0" applyFont="1" applyFill="1" applyBorder="1" applyAlignment="1">
      <alignment horizontal="left" vertical="top" wrapText="1"/>
    </xf>
    <xf numFmtId="0" fontId="21" fillId="7" borderId="5" xfId="0" applyFont="1" applyFill="1" applyBorder="1" applyAlignment="1">
      <alignment horizontal="left" vertical="top" wrapText="1"/>
    </xf>
    <xf numFmtId="0" fontId="21" fillId="7" borderId="6" xfId="0" applyFont="1" applyFill="1" applyBorder="1" applyAlignment="1">
      <alignment horizontal="left" vertical="top" wrapText="1"/>
    </xf>
    <xf numFmtId="0" fontId="24" fillId="3" borderId="7" xfId="0" applyFont="1" applyFill="1" applyBorder="1" applyAlignment="1">
      <alignment horizontal="right"/>
    </xf>
    <xf numFmtId="164" fontId="24" fillId="3" borderId="7" xfId="0" applyNumberFormat="1" applyFont="1" applyFill="1" applyBorder="1" applyAlignment="1">
      <alignment horizontal="center"/>
    </xf>
    <xf numFmtId="164" fontId="24" fillId="3" borderId="8" xfId="0" applyNumberFormat="1" applyFont="1" applyFill="1" applyBorder="1" applyAlignment="1">
      <alignment horizontal="center"/>
    </xf>
    <xf numFmtId="0" fontId="24" fillId="3" borderId="8" xfId="0" applyFont="1" applyFill="1" applyBorder="1" applyAlignment="1">
      <alignment horizontal="center"/>
    </xf>
    <xf numFmtId="0" fontId="17" fillId="5" borderId="1" xfId="0" applyFont="1" applyFill="1" applyBorder="1" applyAlignment="1">
      <alignment horizontal="center" wrapText="1"/>
    </xf>
    <xf numFmtId="0" fontId="17" fillId="5" borderId="2" xfId="0" applyFont="1" applyFill="1" applyBorder="1" applyAlignment="1">
      <alignment horizontal="center" wrapText="1"/>
    </xf>
    <xf numFmtId="0" fontId="17" fillId="7" borderId="1" xfId="0" applyFont="1" applyFill="1" applyBorder="1" applyAlignment="1">
      <alignment horizontal="center" wrapText="1"/>
    </xf>
    <xf numFmtId="0" fontId="17" fillId="7" borderId="2" xfId="0" applyFont="1" applyFill="1" applyBorder="1" applyAlignment="1">
      <alignment horizontal="center" wrapText="1"/>
    </xf>
    <xf numFmtId="0" fontId="17" fillId="2" borderId="1" xfId="0" applyFont="1" applyFill="1" applyBorder="1" applyAlignment="1">
      <alignment horizontal="center"/>
    </xf>
    <xf numFmtId="0" fontId="17" fillId="2" borderId="2" xfId="0" applyFont="1" applyFill="1" applyBorder="1" applyAlignment="1">
      <alignment horizontal="center"/>
    </xf>
    <xf numFmtId="0" fontId="20" fillId="4" borderId="1" xfId="0" applyFont="1" applyFill="1" applyBorder="1" applyAlignment="1">
      <alignment horizontal="center" vertical="center" wrapText="1"/>
    </xf>
    <xf numFmtId="0" fontId="20" fillId="4" borderId="2" xfId="0" applyFont="1" applyFill="1" applyBorder="1" applyAlignment="1">
      <alignment horizontal="center" vertical="center" wrapText="1"/>
    </xf>
    <xf numFmtId="0" fontId="0" fillId="0" borderId="0" xfId="0" applyAlignment="1">
      <alignment horizontal="center" vertical="top" wrapText="1"/>
    </xf>
    <xf numFmtId="0" fontId="0" fillId="0" borderId="0" xfId="0" applyAlignment="1">
      <alignment horizontal="center" wrapText="1"/>
    </xf>
    <xf numFmtId="0" fontId="31" fillId="3" borderId="7" xfId="0" applyFont="1" applyFill="1" applyBorder="1" applyAlignment="1">
      <alignment wrapText="1"/>
    </xf>
    <xf numFmtId="0" fontId="16" fillId="0" borderId="7" xfId="0" applyFont="1" applyBorder="1" applyAlignment="1">
      <alignment wrapText="1"/>
    </xf>
    <xf numFmtId="0" fontId="16" fillId="0" borderId="2" xfId="0" applyFont="1" applyBorder="1" applyAlignment="1">
      <alignment wrapText="1"/>
    </xf>
    <xf numFmtId="0" fontId="16" fillId="0" borderId="8" xfId="0" applyFont="1" applyBorder="1" applyAlignment="1">
      <alignment wrapText="1"/>
    </xf>
    <xf numFmtId="0" fontId="16" fillId="0" borderId="6" xfId="0" applyFont="1" applyBorder="1" applyAlignment="1">
      <alignment wrapText="1"/>
    </xf>
    <xf numFmtId="0" fontId="0" fillId="0" borderId="4" xfId="0" applyBorder="1" applyAlignment="1">
      <alignment horizontal="center"/>
    </xf>
    <xf numFmtId="0" fontId="0" fillId="0" borderId="4" xfId="0" applyBorder="1" applyAlignment="1">
      <alignment horizontal="left" vertical="top" wrapText="1"/>
    </xf>
    <xf numFmtId="0" fontId="0" fillId="0" borderId="3"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29" fillId="11" borderId="0" xfId="0" applyFont="1" applyFill="1" applyAlignment="1">
      <alignment wrapText="1"/>
    </xf>
    <xf numFmtId="0" fontId="0" fillId="11" borderId="0" xfId="0" applyFill="1" applyAlignment="1">
      <alignment wrapText="1"/>
    </xf>
    <xf numFmtId="0" fontId="17" fillId="11" borderId="3" xfId="0" applyFont="1" applyFill="1" applyBorder="1" applyAlignment="1">
      <alignment horizontal="center"/>
    </xf>
    <xf numFmtId="0" fontId="0" fillId="11" borderId="4" xfId="0" applyFill="1" applyBorder="1" applyAlignment="1">
      <alignment horizontal="center"/>
    </xf>
    <xf numFmtId="0" fontId="21" fillId="11" borderId="3" xfId="0" applyFont="1" applyFill="1" applyBorder="1" applyAlignment="1">
      <alignment horizontal="left" vertical="top" wrapText="1"/>
    </xf>
    <xf numFmtId="0" fontId="0" fillId="11" borderId="4" xfId="0" applyFill="1" applyBorder="1" applyAlignment="1">
      <alignment horizontal="left" vertical="top" wrapText="1"/>
    </xf>
    <xf numFmtId="0" fontId="0" fillId="11" borderId="3" xfId="0" applyFill="1" applyBorder="1" applyAlignment="1">
      <alignment horizontal="left" vertical="top" wrapText="1"/>
    </xf>
    <xf numFmtId="0" fontId="0" fillId="11" borderId="5" xfId="0" applyFill="1" applyBorder="1" applyAlignment="1">
      <alignment horizontal="left" vertical="top" wrapText="1"/>
    </xf>
    <xf numFmtId="0" fontId="0" fillId="11" borderId="6" xfId="0" applyFill="1" applyBorder="1" applyAlignment="1">
      <alignment horizontal="left" vertical="top" wrapText="1"/>
    </xf>
    <xf numFmtId="0" fontId="20" fillId="11" borderId="1" xfId="0" applyFont="1" applyFill="1" applyBorder="1" applyAlignment="1">
      <alignment horizontal="center" vertical="center" wrapText="1"/>
    </xf>
    <xf numFmtId="0" fontId="20" fillId="11" borderId="2" xfId="0" applyFont="1" applyFill="1" applyBorder="1" applyAlignment="1">
      <alignment horizontal="center" vertical="center" wrapText="1"/>
    </xf>
    <xf numFmtId="0" fontId="17" fillId="11" borderId="1" xfId="0" applyFont="1" applyFill="1" applyBorder="1" applyAlignment="1">
      <alignment horizontal="center" wrapText="1"/>
    </xf>
    <xf numFmtId="0" fontId="17" fillId="11" borderId="2" xfId="0" applyFont="1" applyFill="1" applyBorder="1" applyAlignment="1">
      <alignment horizontal="center" wrapText="1"/>
    </xf>
    <xf numFmtId="0" fontId="17" fillId="11" borderId="1" xfId="0" applyFont="1" applyFill="1" applyBorder="1" applyAlignment="1">
      <alignment horizontal="center"/>
    </xf>
    <xf numFmtId="0" fontId="17" fillId="11" borderId="2" xfId="0" applyFont="1" applyFill="1" applyBorder="1" applyAlignment="1">
      <alignment horizontal="center"/>
    </xf>
    <xf numFmtId="0" fontId="24" fillId="11" borderId="7" xfId="0" applyFont="1" applyFill="1" applyBorder="1" applyAlignment="1">
      <alignment horizontal="right"/>
    </xf>
    <xf numFmtId="164" fontId="24" fillId="11" borderId="7" xfId="0" applyNumberFormat="1" applyFont="1" applyFill="1" applyBorder="1" applyAlignment="1">
      <alignment horizontal="center"/>
    </xf>
    <xf numFmtId="0" fontId="24" fillId="11" borderId="8" xfId="0" applyFont="1" applyFill="1" applyBorder="1" applyAlignment="1">
      <alignment horizontal="right"/>
    </xf>
    <xf numFmtId="164" fontId="24" fillId="11" borderId="8" xfId="0" applyNumberFormat="1" applyFont="1" applyFill="1" applyBorder="1" applyAlignment="1">
      <alignment horizontal="center"/>
    </xf>
    <xf numFmtId="0" fontId="24" fillId="11" borderId="8" xfId="0" applyFont="1" applyFill="1" applyBorder="1" applyAlignment="1">
      <alignment horizontal="center"/>
    </xf>
    <xf numFmtId="0" fontId="29" fillId="0" borderId="0" xfId="0" applyFont="1" applyAlignment="1">
      <alignment horizontal="center" wrapText="1"/>
    </xf>
    <xf numFmtId="0" fontId="32" fillId="12" borderId="0" xfId="0" applyFont="1" applyFill="1" applyAlignment="1">
      <alignment horizontal="left" vertical="top" wrapText="1"/>
    </xf>
    <xf numFmtId="0" fontId="39" fillId="15" borderId="0" xfId="0" applyFont="1" applyFill="1" applyAlignment="1">
      <alignment horizontal="left" vertical="center" indent="1"/>
    </xf>
    <xf numFmtId="0" fontId="33" fillId="0" borderId="0" xfId="0" applyFont="1" applyAlignment="1">
      <alignment horizontal="left"/>
    </xf>
    <xf numFmtId="0" fontId="14" fillId="0" borderId="0" xfId="0" applyFont="1" applyAlignment="1">
      <alignment horizontal="left" wrapText="1"/>
    </xf>
    <xf numFmtId="0" fontId="35" fillId="12" borderId="0" xfId="0" applyFont="1" applyFill="1" applyAlignment="1">
      <alignment horizontal="left" vertical="center" wrapText="1"/>
    </xf>
    <xf numFmtId="0" fontId="9" fillId="12" borderId="0" xfId="0" applyFont="1" applyFill="1" applyAlignment="1">
      <alignment horizontal="right" wrapText="1"/>
    </xf>
    <xf numFmtId="0" fontId="14" fillId="12" borderId="0" xfId="0" applyFont="1" applyFill="1" applyAlignment="1">
      <alignment horizontal="center" vertical="center"/>
    </xf>
    <xf numFmtId="0" fontId="38" fillId="15" borderId="0" xfId="0" applyFont="1" applyFill="1" applyAlignment="1">
      <alignment horizontal="left" vertical="center" wrapText="1" indent="1"/>
    </xf>
    <xf numFmtId="44" fontId="39" fillId="15" borderId="0" xfId="0" applyNumberFormat="1" applyFont="1" applyFill="1" applyAlignment="1">
      <alignment horizontal="center" vertical="center"/>
    </xf>
    <xf numFmtId="0" fontId="10" fillId="0" borderId="0" xfId="0" applyFont="1" applyAlignment="1">
      <alignment horizontal="left" wrapText="1"/>
    </xf>
    <xf numFmtId="0" fontId="8" fillId="12" borderId="0" xfId="0" applyFont="1" applyFill="1" applyAlignment="1">
      <alignment horizontal="right" wrapText="1"/>
    </xf>
    <xf numFmtId="0" fontId="14" fillId="12" borderId="0" xfId="0" applyFont="1" applyFill="1" applyAlignment="1">
      <alignment horizontal="right" wrapText="1"/>
    </xf>
    <xf numFmtId="0" fontId="14" fillId="12" borderId="20" xfId="0" applyFont="1" applyFill="1" applyBorder="1" applyAlignment="1">
      <alignment horizontal="left" vertical="center" wrapText="1" indent="1"/>
    </xf>
    <xf numFmtId="0" fontId="14" fillId="12" borderId="23" xfId="0" applyFont="1" applyFill="1" applyBorder="1" applyAlignment="1">
      <alignment horizontal="left" vertical="center" wrapText="1" indent="1"/>
    </xf>
    <xf numFmtId="0" fontId="12" fillId="12" borderId="0" xfId="0" applyFont="1" applyFill="1" applyAlignment="1">
      <alignment horizontal="left" vertical="top" wrapText="1" indent="1"/>
    </xf>
    <xf numFmtId="0" fontId="40" fillId="0" borderId="0" xfId="0" applyFont="1" applyAlignment="1">
      <alignment horizontal="left" wrapText="1"/>
    </xf>
    <xf numFmtId="0" fontId="8" fillId="12" borderId="20" xfId="0" applyFont="1" applyFill="1" applyBorder="1" applyAlignment="1">
      <alignment horizontal="left" vertical="center" wrapText="1" indent="1"/>
    </xf>
    <xf numFmtId="0" fontId="2" fillId="12" borderId="20" xfId="0" applyFont="1" applyFill="1" applyBorder="1" applyAlignment="1">
      <alignment horizontal="left" vertical="center" wrapText="1" indent="1"/>
    </xf>
  </cellXfs>
  <cellStyles count="3">
    <cellStyle name="Prozent" xfId="2" builtinId="5"/>
    <cellStyle name="Standard" xfId="0" builtinId="0"/>
    <cellStyle name="Währung" xfId="1" builtinId="4"/>
  </cellStyles>
  <dxfs count="99">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color rgb="FFFFFF00"/>
      </font>
      <fill>
        <patternFill>
          <bgColor rgb="FFFF33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color rgb="FFFFFF00"/>
      </font>
      <fill>
        <patternFill>
          <bgColor rgb="FFFF33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color theme="0" tint="-0.14996795556505021"/>
      </font>
    </dxf>
    <dxf>
      <font>
        <color theme="0" tint="-0.24994659260841701"/>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tint="-0.14996795556505021"/>
      </font>
    </dxf>
    <dxf>
      <font>
        <b/>
        <i val="0"/>
        <color rgb="FFFFFF00"/>
      </font>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tint="-0.14996795556505021"/>
      </font>
    </dxf>
    <dxf>
      <font>
        <color theme="0" tint="-0.14996795556505021"/>
      </font>
    </dxf>
    <dxf>
      <font>
        <b/>
        <i val="0"/>
        <color rgb="FFFFFF00"/>
      </font>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tint="-0.14996795556505021"/>
      </font>
    </dxf>
    <dxf>
      <font>
        <color theme="0" tint="-0.14996795556505021"/>
      </font>
    </dxf>
    <dxf>
      <font>
        <b/>
        <i val="0"/>
        <color rgb="FFFFFF00"/>
      </font>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tint="-0.14996795556505021"/>
      </font>
    </dxf>
    <dxf>
      <font>
        <color theme="0" tint="-0.24994659260841701"/>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tint="-0.14996795556505021"/>
      </font>
    </dxf>
  </dxfs>
  <tableStyles count="0" defaultTableStyle="TableStyleMedium2" defaultPivotStyle="PivotStyleLight16"/>
  <colors>
    <mruColors>
      <color rgb="FFFF3300"/>
      <color rgb="FFFFFF99"/>
      <color rgb="FFFF7575"/>
      <color rgb="FF00CC5C"/>
      <color rgb="FF9AEE96"/>
      <color rgb="FFAFFFD3"/>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747347</xdr:colOff>
      <xdr:row>19</xdr:row>
      <xdr:rowOff>58616</xdr:rowOff>
    </xdr:from>
    <xdr:to>
      <xdr:col>1</xdr:col>
      <xdr:colOff>659424</xdr:colOff>
      <xdr:row>20</xdr:row>
      <xdr:rowOff>146539</xdr:rowOff>
    </xdr:to>
    <xdr:sp macro="" textlink="">
      <xdr:nvSpPr>
        <xdr:cNvPr id="2" name="Pfeil nach rechts 1">
          <a:extLst>
            <a:ext uri="{FF2B5EF4-FFF2-40B4-BE49-F238E27FC236}">
              <a16:creationId xmlns:a16="http://schemas.microsoft.com/office/drawing/2014/main" id="{00000000-0008-0000-0000-000002000000}"/>
            </a:ext>
          </a:extLst>
        </xdr:cNvPr>
        <xdr:cNvSpPr/>
      </xdr:nvSpPr>
      <xdr:spPr>
        <a:xfrm>
          <a:off x="747347" y="3531578"/>
          <a:ext cx="1392115" cy="278423"/>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747347</xdr:colOff>
      <xdr:row>19</xdr:row>
      <xdr:rowOff>58616</xdr:rowOff>
    </xdr:from>
    <xdr:to>
      <xdr:col>1</xdr:col>
      <xdr:colOff>659424</xdr:colOff>
      <xdr:row>20</xdr:row>
      <xdr:rowOff>146539</xdr:rowOff>
    </xdr:to>
    <xdr:sp macro="" textlink="">
      <xdr:nvSpPr>
        <xdr:cNvPr id="11" name="Pfeil nach rechts 1">
          <a:extLst>
            <a:ext uri="{FF2B5EF4-FFF2-40B4-BE49-F238E27FC236}">
              <a16:creationId xmlns:a16="http://schemas.microsoft.com/office/drawing/2014/main" id="{587A0C09-B1FE-460C-BE37-FE7CC84892A7}"/>
            </a:ext>
          </a:extLst>
        </xdr:cNvPr>
        <xdr:cNvSpPr/>
      </xdr:nvSpPr>
      <xdr:spPr>
        <a:xfrm>
          <a:off x="747347" y="3916241"/>
          <a:ext cx="1521802" cy="287948"/>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747347</xdr:colOff>
      <xdr:row>19</xdr:row>
      <xdr:rowOff>58616</xdr:rowOff>
    </xdr:from>
    <xdr:to>
      <xdr:col>1</xdr:col>
      <xdr:colOff>659424</xdr:colOff>
      <xdr:row>20</xdr:row>
      <xdr:rowOff>146539</xdr:rowOff>
    </xdr:to>
    <xdr:sp macro="" textlink="">
      <xdr:nvSpPr>
        <xdr:cNvPr id="2" name="Pfeil nach rechts 1">
          <a:extLst>
            <a:ext uri="{FF2B5EF4-FFF2-40B4-BE49-F238E27FC236}">
              <a16:creationId xmlns:a16="http://schemas.microsoft.com/office/drawing/2014/main" id="{96C7E7D3-6BE3-4F9B-9FD0-299315AB5149}"/>
            </a:ext>
          </a:extLst>
        </xdr:cNvPr>
        <xdr:cNvSpPr/>
      </xdr:nvSpPr>
      <xdr:spPr>
        <a:xfrm>
          <a:off x="747347" y="3811466"/>
          <a:ext cx="1350352" cy="287948"/>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747347</xdr:colOff>
      <xdr:row>21</xdr:row>
      <xdr:rowOff>58616</xdr:rowOff>
    </xdr:from>
    <xdr:to>
      <xdr:col>1</xdr:col>
      <xdr:colOff>659424</xdr:colOff>
      <xdr:row>22</xdr:row>
      <xdr:rowOff>146539</xdr:rowOff>
    </xdr:to>
    <xdr:sp macro="" textlink="">
      <xdr:nvSpPr>
        <xdr:cNvPr id="4" name="Pfeil nach rechts 1">
          <a:extLst>
            <a:ext uri="{FF2B5EF4-FFF2-40B4-BE49-F238E27FC236}">
              <a16:creationId xmlns:a16="http://schemas.microsoft.com/office/drawing/2014/main" id="{9CC09294-9864-46F5-9CA5-2BDBC435C1F2}"/>
            </a:ext>
          </a:extLst>
        </xdr:cNvPr>
        <xdr:cNvSpPr/>
      </xdr:nvSpPr>
      <xdr:spPr>
        <a:xfrm>
          <a:off x="747347" y="3811466"/>
          <a:ext cx="1350352" cy="287948"/>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747347</xdr:colOff>
      <xdr:row>19</xdr:row>
      <xdr:rowOff>58616</xdr:rowOff>
    </xdr:from>
    <xdr:to>
      <xdr:col>1</xdr:col>
      <xdr:colOff>659424</xdr:colOff>
      <xdr:row>20</xdr:row>
      <xdr:rowOff>146539</xdr:rowOff>
    </xdr:to>
    <xdr:sp macro="" textlink="">
      <xdr:nvSpPr>
        <xdr:cNvPr id="2" name="Pfeil nach rechts 1">
          <a:extLst>
            <a:ext uri="{FF2B5EF4-FFF2-40B4-BE49-F238E27FC236}">
              <a16:creationId xmlns:a16="http://schemas.microsoft.com/office/drawing/2014/main" id="{00000000-0008-0000-0100-000002000000}"/>
            </a:ext>
          </a:extLst>
        </xdr:cNvPr>
        <xdr:cNvSpPr/>
      </xdr:nvSpPr>
      <xdr:spPr>
        <a:xfrm>
          <a:off x="747347" y="3960056"/>
          <a:ext cx="1519897" cy="286043"/>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7FEA8-E294-4D89-883F-4B02DE10E1F9}">
  <dimension ref="A1:G12"/>
  <sheetViews>
    <sheetView workbookViewId="0">
      <selection activeCell="A14" sqref="A14"/>
    </sheetView>
  </sheetViews>
  <sheetFormatPr baseColWidth="10" defaultRowHeight="14" x14ac:dyDescent="0.3"/>
  <sheetData>
    <row r="1" spans="1:7" x14ac:dyDescent="0.3">
      <c r="A1" s="190" t="s">
        <v>74</v>
      </c>
      <c r="B1" s="190"/>
      <c r="C1" s="190"/>
      <c r="D1" s="190"/>
      <c r="E1" s="190"/>
      <c r="F1" s="190"/>
      <c r="G1" s="190"/>
    </row>
    <row r="2" spans="1:7" x14ac:dyDescent="0.3">
      <c r="A2" s="190"/>
      <c r="B2" s="190"/>
      <c r="C2" s="190"/>
      <c r="D2" s="190"/>
      <c r="E2" s="190"/>
      <c r="F2" s="190"/>
      <c r="G2" s="190"/>
    </row>
    <row r="3" spans="1:7" x14ac:dyDescent="0.3">
      <c r="A3" s="190"/>
      <c r="B3" s="190"/>
      <c r="C3" s="190"/>
      <c r="D3" s="190"/>
      <c r="E3" s="190"/>
      <c r="F3" s="190"/>
      <c r="G3" s="190"/>
    </row>
    <row r="4" spans="1:7" x14ac:dyDescent="0.3">
      <c r="A4" s="190"/>
      <c r="B4" s="190"/>
      <c r="C4" s="190"/>
      <c r="D4" s="190"/>
      <c r="E4" s="190"/>
      <c r="F4" s="190"/>
      <c r="G4" s="190"/>
    </row>
    <row r="5" spans="1:7" x14ac:dyDescent="0.3">
      <c r="A5" s="190"/>
      <c r="B5" s="190"/>
      <c r="C5" s="190"/>
      <c r="D5" s="190"/>
      <c r="E5" s="190"/>
      <c r="F5" s="190"/>
      <c r="G5" s="190"/>
    </row>
    <row r="6" spans="1:7" x14ac:dyDescent="0.3">
      <c r="A6" s="190"/>
      <c r="B6" s="190"/>
      <c r="C6" s="190"/>
      <c r="D6" s="190"/>
      <c r="E6" s="190"/>
      <c r="F6" s="190"/>
      <c r="G6" s="190"/>
    </row>
    <row r="7" spans="1:7" x14ac:dyDescent="0.3">
      <c r="A7" s="190"/>
      <c r="B7" s="190"/>
      <c r="C7" s="190"/>
      <c r="D7" s="190"/>
      <c r="E7" s="190"/>
      <c r="F7" s="190"/>
      <c r="G7" s="190"/>
    </row>
    <row r="8" spans="1:7" x14ac:dyDescent="0.3">
      <c r="A8" s="190"/>
      <c r="B8" s="190"/>
      <c r="C8" s="190"/>
      <c r="D8" s="190"/>
      <c r="E8" s="190"/>
      <c r="F8" s="190"/>
      <c r="G8" s="190"/>
    </row>
    <row r="9" spans="1:7" x14ac:dyDescent="0.3">
      <c r="A9" s="190"/>
      <c r="B9" s="190"/>
      <c r="C9" s="190"/>
      <c r="D9" s="190"/>
      <c r="E9" s="190"/>
      <c r="F9" s="190"/>
      <c r="G9" s="190"/>
    </row>
    <row r="10" spans="1:7" x14ac:dyDescent="0.3">
      <c r="A10" s="190"/>
      <c r="B10" s="190"/>
      <c r="C10" s="190"/>
      <c r="D10" s="190"/>
      <c r="E10" s="190"/>
      <c r="F10" s="190"/>
      <c r="G10" s="190"/>
    </row>
    <row r="11" spans="1:7" x14ac:dyDescent="0.3">
      <c r="A11" s="190"/>
      <c r="B11" s="190"/>
      <c r="C11" s="190"/>
      <c r="D11" s="190"/>
      <c r="E11" s="190"/>
      <c r="F11" s="190"/>
      <c r="G11" s="190"/>
    </row>
    <row r="12" spans="1:7" x14ac:dyDescent="0.3">
      <c r="A12" s="190"/>
      <c r="B12" s="190"/>
      <c r="C12" s="190"/>
      <c r="D12" s="190"/>
      <c r="E12" s="190"/>
      <c r="F12" s="190"/>
      <c r="G12" s="190"/>
    </row>
  </sheetData>
  <mergeCells count="1">
    <mergeCell ref="A1:G12"/>
  </mergeCells>
  <pageMargins left="0.7" right="0.7" top="0.78740157499999996" bottom="0.78740157499999996"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22F20-C280-4078-A6ED-369772817CBF}">
  <sheetPr>
    <outlinePr summaryRight="0"/>
  </sheetPr>
  <dimension ref="B1:T50"/>
  <sheetViews>
    <sheetView showGridLines="0" zoomScaleNormal="100" workbookViewId="0"/>
  </sheetViews>
  <sheetFormatPr baseColWidth="10" defaultRowHeight="14" outlineLevelCol="1" x14ac:dyDescent="0.3"/>
  <cols>
    <col min="1" max="1" width="4.83203125" customWidth="1"/>
    <col min="2" max="2" width="33.08203125" customWidth="1"/>
    <col min="3" max="3" width="12" customWidth="1"/>
    <col min="4" max="4" width="20.9140625" customWidth="1"/>
    <col min="5" max="5" width="16.9140625" customWidth="1"/>
    <col min="6" max="6" width="16.75" customWidth="1" collapsed="1"/>
    <col min="7" max="7" width="6.5" style="93" hidden="1" customWidth="1" outlineLevel="1"/>
    <col min="8" max="8" width="38.5" style="93" hidden="1" customWidth="1" outlineLevel="1"/>
    <col min="9" max="20" width="4.08203125" hidden="1" customWidth="1" outlineLevel="1"/>
  </cols>
  <sheetData>
    <row r="1" spans="2:20" ht="18.5" x14ac:dyDescent="0.45">
      <c r="B1" s="247" t="s">
        <v>64</v>
      </c>
      <c r="C1" s="247"/>
      <c r="D1" s="247"/>
      <c r="E1" s="247"/>
      <c r="F1" s="247"/>
    </row>
    <row r="2" spans="2:20" ht="14.5" customHeight="1" x14ac:dyDescent="0.35">
      <c r="B2" s="260" t="s">
        <v>136</v>
      </c>
      <c r="C2" s="260"/>
      <c r="D2" s="260"/>
      <c r="E2" s="260"/>
      <c r="F2" s="260"/>
    </row>
    <row r="3" spans="2:20" ht="14.5" x14ac:dyDescent="0.35">
      <c r="B3" s="94"/>
      <c r="C3" s="94"/>
      <c r="D3" s="94"/>
      <c r="E3" s="94"/>
      <c r="F3" s="94"/>
    </row>
    <row r="4" spans="2:20" ht="14" customHeight="1" x14ac:dyDescent="0.3">
      <c r="B4" s="249" t="s">
        <v>101</v>
      </c>
      <c r="C4" s="249"/>
      <c r="D4" s="249"/>
      <c r="E4" s="249"/>
      <c r="F4" s="249"/>
    </row>
    <row r="5" spans="2:20" ht="14.5" x14ac:dyDescent="0.35">
      <c r="B5" s="95"/>
      <c r="C5" s="95"/>
      <c r="D5" s="96"/>
      <c r="E5" s="96"/>
      <c r="F5" s="96"/>
    </row>
    <row r="6" spans="2:20" s="93" customFormat="1" ht="14.5" x14ac:dyDescent="0.35">
      <c r="B6" s="155" t="s">
        <v>117</v>
      </c>
      <c r="C6" s="157">
        <v>4.41E-2</v>
      </c>
      <c r="D6" s="96"/>
      <c r="E6" s="96"/>
      <c r="F6" s="96"/>
      <c r="I6"/>
      <c r="J6"/>
      <c r="K6"/>
      <c r="L6"/>
      <c r="M6"/>
      <c r="N6"/>
      <c r="O6"/>
      <c r="P6"/>
      <c r="Q6"/>
      <c r="R6"/>
      <c r="S6"/>
      <c r="T6"/>
    </row>
    <row r="7" spans="2:20" s="93" customFormat="1" ht="14.5" x14ac:dyDescent="0.35">
      <c r="B7" s="155" t="s">
        <v>118</v>
      </c>
      <c r="C7" s="140"/>
      <c r="D7" s="96"/>
      <c r="E7" s="96"/>
      <c r="F7" s="96"/>
      <c r="I7"/>
      <c r="J7"/>
      <c r="K7"/>
      <c r="L7"/>
      <c r="M7"/>
      <c r="N7"/>
      <c r="O7"/>
      <c r="P7"/>
      <c r="Q7"/>
      <c r="R7"/>
      <c r="S7"/>
      <c r="T7"/>
    </row>
    <row r="8" spans="2:20" s="93" customFormat="1" ht="14.5" x14ac:dyDescent="0.35">
      <c r="B8" s="189" t="s">
        <v>134</v>
      </c>
      <c r="C8" s="140"/>
      <c r="D8" s="143" t="s">
        <v>105</v>
      </c>
      <c r="E8" s="144" t="str">
        <f>IF(OR(ISBLANK(C6),ISBLANK(C7),ISBLANK(C8)),"N/A",(100%+C6)*(100%+C7)*(100%+C8))</f>
        <v>N/A</v>
      </c>
      <c r="F8" s="96"/>
      <c r="I8"/>
      <c r="J8"/>
      <c r="K8"/>
      <c r="L8"/>
      <c r="M8"/>
      <c r="N8"/>
      <c r="O8"/>
      <c r="P8"/>
      <c r="Q8"/>
      <c r="R8"/>
      <c r="S8"/>
      <c r="T8"/>
    </row>
    <row r="9" spans="2:20" s="93" customFormat="1" ht="14.5" x14ac:dyDescent="0.35">
      <c r="B9" s="99"/>
      <c r="C9" s="96"/>
      <c r="D9" s="184"/>
      <c r="E9" s="183"/>
      <c r="F9" s="96"/>
      <c r="I9"/>
      <c r="J9"/>
      <c r="K9"/>
      <c r="L9"/>
      <c r="M9"/>
      <c r="N9"/>
      <c r="O9"/>
      <c r="P9"/>
      <c r="Q9"/>
      <c r="R9"/>
      <c r="S9"/>
      <c r="T9"/>
    </row>
    <row r="10" spans="2:20" s="93" customFormat="1" ht="14.5" x14ac:dyDescent="0.35">
      <c r="B10" s="97" t="s">
        <v>75</v>
      </c>
      <c r="C10" s="98">
        <v>46388</v>
      </c>
      <c r="D10" s="255" t="s">
        <v>110</v>
      </c>
      <c r="E10" s="251" t="str">
        <f>IF(OR(ISBLANK($C$10),ISBLANK($C$11)),"N/A",(YEAR($C$10)-YEAR($C$11))*12+MONTH($C$10)-MONTH($C$11))</f>
        <v>N/A</v>
      </c>
      <c r="F10" s="96"/>
      <c r="I10"/>
      <c r="J10"/>
      <c r="K10"/>
      <c r="L10"/>
      <c r="M10"/>
      <c r="N10"/>
      <c r="O10"/>
      <c r="P10"/>
      <c r="Q10"/>
      <c r="R10"/>
      <c r="S10"/>
      <c r="T10"/>
    </row>
    <row r="11" spans="2:20" s="93" customFormat="1" ht="14.5" x14ac:dyDescent="0.35">
      <c r="B11" s="99" t="s">
        <v>76</v>
      </c>
      <c r="C11" s="100"/>
      <c r="D11" s="256"/>
      <c r="E11" s="251"/>
      <c r="F11" s="96"/>
      <c r="G11" s="171"/>
      <c r="I11"/>
      <c r="J11"/>
      <c r="K11"/>
      <c r="L11"/>
      <c r="M11"/>
      <c r="N11"/>
      <c r="O11"/>
      <c r="P11"/>
      <c r="Q11"/>
      <c r="R11"/>
      <c r="S11"/>
      <c r="T11"/>
    </row>
    <row r="12" spans="2:20" s="93" customFormat="1" ht="14.5" x14ac:dyDescent="0.35">
      <c r="B12" s="99"/>
      <c r="C12" s="96"/>
      <c r="D12" s="184"/>
      <c r="E12" s="183"/>
      <c r="F12" s="96"/>
      <c r="G12" s="171"/>
      <c r="I12"/>
      <c r="J12"/>
      <c r="K12"/>
      <c r="L12"/>
      <c r="M12"/>
      <c r="N12"/>
      <c r="O12"/>
      <c r="P12"/>
      <c r="Q12"/>
      <c r="R12"/>
      <c r="S12"/>
      <c r="T12"/>
    </row>
    <row r="13" spans="2:20" s="93" customFormat="1" ht="14.5" x14ac:dyDescent="0.35">
      <c r="B13" s="142"/>
      <c r="C13" s="142"/>
      <c r="D13" s="96"/>
      <c r="E13" s="183" t="s">
        <v>83</v>
      </c>
      <c r="F13" s="183" t="s">
        <v>84</v>
      </c>
      <c r="G13" s="171"/>
      <c r="I13"/>
      <c r="J13"/>
      <c r="K13"/>
      <c r="L13"/>
      <c r="M13"/>
      <c r="N13"/>
      <c r="O13"/>
      <c r="P13"/>
      <c r="Q13"/>
      <c r="R13"/>
      <c r="S13"/>
      <c r="T13"/>
    </row>
    <row r="14" spans="2:20" s="93" customFormat="1" ht="14.5" x14ac:dyDescent="0.3">
      <c r="B14" s="97"/>
      <c r="C14" s="102"/>
      <c r="D14" s="141" t="s">
        <v>82</v>
      </c>
      <c r="E14" s="105" t="str">
        <f>IF(E8="N/A","N/A",40000*$E$8)</f>
        <v>N/A</v>
      </c>
      <c r="F14" s="105" t="str">
        <f>IF(E8="N/A","N/A",7000*$E$8)</f>
        <v>N/A</v>
      </c>
      <c r="G14" s="171"/>
      <c r="I14"/>
      <c r="J14"/>
      <c r="K14"/>
      <c r="L14"/>
      <c r="M14"/>
      <c r="N14"/>
      <c r="O14"/>
      <c r="P14"/>
      <c r="Q14"/>
      <c r="R14"/>
      <c r="S14"/>
      <c r="T14"/>
    </row>
    <row r="15" spans="2:20" s="93" customFormat="1" ht="14.5" x14ac:dyDescent="0.3">
      <c r="B15" s="97" t="s">
        <v>0</v>
      </c>
      <c r="C15" s="104"/>
      <c r="D15" s="141" t="s">
        <v>96</v>
      </c>
      <c r="E15" s="105" t="str">
        <f>IF(E8="N/A","N/A",168.6*$E$8)</f>
        <v>N/A</v>
      </c>
      <c r="F15" s="105" t="str">
        <f>IF(E8="N/A","N/A",90.06*$E$8)</f>
        <v>N/A</v>
      </c>
      <c r="I15"/>
      <c r="J15"/>
      <c r="K15"/>
      <c r="L15"/>
      <c r="M15"/>
      <c r="N15"/>
      <c r="O15"/>
      <c r="P15"/>
      <c r="Q15"/>
      <c r="R15"/>
      <c r="S15"/>
      <c r="T15"/>
    </row>
    <row r="16" spans="2:20" s="93" customFormat="1" ht="14.5" x14ac:dyDescent="0.35">
      <c r="B16" s="106"/>
      <c r="C16" s="96"/>
      <c r="D16" s="103" t="s">
        <v>97</v>
      </c>
      <c r="E16" s="105" t="str">
        <f>IF(OR(ISBLANK($C$15),E8="N/A"),"N/A",E14+$C$15*E15)</f>
        <v>N/A</v>
      </c>
      <c r="F16" s="105" t="str">
        <f>IF(OR(ISBLANK($C$15),E8="N/A"),"N/A",F14+$C$15*F15)</f>
        <v>N/A</v>
      </c>
      <c r="I16"/>
      <c r="J16"/>
      <c r="K16"/>
      <c r="L16"/>
      <c r="M16"/>
      <c r="N16"/>
      <c r="O16"/>
      <c r="P16"/>
      <c r="Q16"/>
      <c r="R16"/>
      <c r="S16"/>
      <c r="T16"/>
    </row>
    <row r="17" spans="2:20" s="93" customFormat="1" ht="14.5" x14ac:dyDescent="0.35">
      <c r="B17" s="106"/>
      <c r="C17" s="96"/>
      <c r="D17" s="103" t="s">
        <v>93</v>
      </c>
      <c r="E17" s="105" t="str">
        <f>IF(E16="N/A","N/A",E16/12)</f>
        <v>N/A</v>
      </c>
      <c r="F17" s="105" t="str">
        <f>IF(F16="N/A","N/A",F16/12)</f>
        <v>N/A</v>
      </c>
      <c r="I17"/>
      <c r="J17"/>
      <c r="K17"/>
      <c r="L17"/>
      <c r="M17"/>
      <c r="N17"/>
      <c r="O17"/>
      <c r="P17"/>
      <c r="Q17"/>
      <c r="R17"/>
      <c r="S17"/>
      <c r="T17"/>
    </row>
    <row r="18" spans="2:20" ht="6" customHeight="1" x14ac:dyDescent="0.35">
      <c r="B18" s="106"/>
      <c r="C18" s="96"/>
      <c r="D18" s="103"/>
      <c r="E18" s="105"/>
      <c r="F18" s="105"/>
    </row>
    <row r="19" spans="2:20" ht="14.5" x14ac:dyDescent="0.35">
      <c r="B19" s="106"/>
      <c r="C19" s="96"/>
      <c r="D19" s="107" t="s">
        <v>95</v>
      </c>
      <c r="E19" s="146" t="str">
        <f>IF(F19="N/A","N/A",IF(E10&lt;0,0,12-F19))</f>
        <v>N/A</v>
      </c>
      <c r="F19" s="146" t="str">
        <f>IF(E10="N/A","N/A",IF(OR(C11&lt;DATE(2021,1,1),C11&gt;DATE(2023,12,31)),0,IF(E10&gt;=30,0,IF(E10&gt;18,30-E10,12))))</f>
        <v>N/A</v>
      </c>
    </row>
    <row r="20" spans="2:20" ht="14.5" x14ac:dyDescent="0.35">
      <c r="B20" s="108"/>
      <c r="C20" s="96"/>
      <c r="D20" s="184"/>
      <c r="E20" s="183"/>
      <c r="F20" s="172"/>
    </row>
    <row r="21" spans="2:20" ht="45" customHeight="1" x14ac:dyDescent="0.3">
      <c r="B21" s="252" t="s">
        <v>99</v>
      </c>
      <c r="C21" s="252"/>
      <c r="D21" s="252"/>
      <c r="E21" s="253" t="str">
        <f>IF(COUNTIF(E17:F19,"N/A")&gt;0,"N/A",E19*E17+F19*F17)</f>
        <v>N/A</v>
      </c>
      <c r="F21" s="253"/>
    </row>
    <row r="22" spans="2:20" s="93" customFormat="1" ht="14.5" x14ac:dyDescent="0.35">
      <c r="B22" s="109"/>
      <c r="C22" s="110"/>
      <c r="D22" s="110"/>
      <c r="E22" s="110"/>
      <c r="F22" s="110"/>
    </row>
    <row r="23" spans="2:20" ht="14" customHeight="1" x14ac:dyDescent="0.3">
      <c r="B23" s="245" t="s">
        <v>102</v>
      </c>
      <c r="C23" s="245"/>
      <c r="D23" s="245"/>
      <c r="E23" s="245"/>
      <c r="F23" s="245"/>
    </row>
    <row r="24" spans="2:20" ht="14.5" x14ac:dyDescent="0.35">
      <c r="B24" s="122"/>
      <c r="C24" s="120"/>
      <c r="D24" s="184"/>
      <c r="E24" s="121"/>
      <c r="F24" s="96"/>
    </row>
    <row r="25" spans="2:20" ht="62" customHeight="1" x14ac:dyDescent="0.3">
      <c r="B25" s="262" t="s">
        <v>135</v>
      </c>
      <c r="C25" s="258"/>
      <c r="D25" s="133" t="s">
        <v>98</v>
      </c>
      <c r="E25" s="149" t="s">
        <v>111</v>
      </c>
      <c r="F25" s="127" t="s">
        <v>91</v>
      </c>
      <c r="G25" s="158"/>
      <c r="H25" s="162" t="s">
        <v>131</v>
      </c>
      <c r="I25" s="182" t="s">
        <v>119</v>
      </c>
      <c r="J25" s="161" t="s">
        <v>120</v>
      </c>
      <c r="K25" s="161" t="s">
        <v>121</v>
      </c>
      <c r="L25" s="161" t="s">
        <v>129</v>
      </c>
      <c r="M25" s="161" t="s">
        <v>130</v>
      </c>
      <c r="N25" s="161" t="s">
        <v>122</v>
      </c>
      <c r="O25" s="161" t="s">
        <v>123</v>
      </c>
      <c r="P25" s="161" t="s">
        <v>124</v>
      </c>
      <c r="Q25" s="161" t="s">
        <v>125</v>
      </c>
      <c r="R25" s="161" t="s">
        <v>126</v>
      </c>
      <c r="S25" s="161" t="s">
        <v>127</v>
      </c>
      <c r="T25" s="161" t="s">
        <v>128</v>
      </c>
    </row>
    <row r="26" spans="2:20" ht="14.5" x14ac:dyDescent="0.35">
      <c r="B26" s="123" t="s">
        <v>78</v>
      </c>
      <c r="C26" s="125"/>
      <c r="D26" s="134"/>
      <c r="E26" s="131"/>
      <c r="F26" s="135" t="str">
        <f>IF(COUNTIF(I26:T26,"N/A")&gt;0,"N/A",SUM(I26:T26))</f>
        <v>N/A</v>
      </c>
      <c r="H26" s="174" t="s">
        <v>78</v>
      </c>
      <c r="I26" s="177" t="str">
        <f>IF(OR(AND(ISBLANK(D26),E26&lt;&gt;""),AND(D26="Ja",ISBLANK(E26)),AND(C26="Irrelevant",OR(D26&lt;&gt;"",E26&lt;&gt;"")),C26="",AND(C26="Ja",D26="Ja"),AND(E26&lt;&gt;"",E26&lt;$C$11),AND(C26="Nein",D26=""),AND(C26="Ja",$C$11&gt;$C$10),$C$11=""),"N/A",IF($C26="Nein",IF($D26="Nein",1,N(MONTH($E26)&gt;1+COLUMN()-COLUMN($I26))),0))</f>
        <v>N/A</v>
      </c>
      <c r="J26" s="178" t="str">
        <f>IF(OR(AND(ISBLANK(D26),E26&lt;&gt;""),AND(D26="Ja",ISBLANK(E26)),AND(C26="Irrelevant",OR(D26&lt;&gt;"",E26&lt;&gt;"")),C26="",AND(C26="Ja",D26="Ja"),AND(E26&lt;&gt;"",E26&lt;$C$11),AND(C26="Nein",D26=""),AND(C26="Ja",$C$11&gt;$C$10),$C$11=""),"N/A",IF($C26="Nein",IF($D26="Nein",1,N(MONTH($E26)&gt;1+COLUMN()-COLUMN($I26))),0))</f>
        <v>N/A</v>
      </c>
      <c r="K26" s="178" t="str">
        <f>IF(OR(AND(ISBLANK(D26),E26&lt;&gt;""),AND(D26="Ja",ISBLANK(E26)),AND(C26="Irrelevant",OR(D26&lt;&gt;"",E26&lt;&gt;"")),C26="",AND(C26="Ja",D26="Ja"),AND(E26&lt;&gt;"",E26&lt;$C$11),AND(C26="Nein",D26=""),AND(C26="Ja",$C$11&gt;$C$10),$C$11=""),"N/A",IF($C26="Nein",IF($D26="Nein",1,N(MONTH($E26)&gt;1+COLUMN()-COLUMN($I26))),0))</f>
        <v>N/A</v>
      </c>
      <c r="L26" s="178" t="str">
        <f>IF(OR(AND(ISBLANK(D26),E26&lt;&gt;""),AND(D26="Ja",ISBLANK(E26)),AND(C26="Irrelevant",OR(D26&lt;&gt;"",E26&lt;&gt;"")),C26="",AND(C26="Ja",D26="Ja"),AND(E26&lt;&gt;"",E26&lt;$C$11),AND(C26="Nein",D26=""),AND(C26="Ja",$C$11&gt;$C$10),$C$11=""),"N/A",IF($C26="Nein",IF($D26="Nein",1,N(MONTH($E26)&gt;1+COLUMN()-COLUMN($I26))),0))</f>
        <v>N/A</v>
      </c>
      <c r="M26" s="178" t="str">
        <f>IF(OR(AND(ISBLANK(D26),E26&lt;&gt;""),AND(D26="Ja",ISBLANK(E26)),AND(C26="Irrelevant",OR(D26&lt;&gt;"",E26&lt;&gt;"")),C26="",AND(C26="Ja",D26="Ja"),AND(E26&lt;&gt;"",E26&lt;$C$11),AND(C26="Nein",D26=""),AND(C26="Ja",$C$11&gt;$C$10),$C$11=""),"N/A",IF($C26="Nein",IF($D26="Nein",1,N(MONTH($E26)&gt;1+COLUMN()-COLUMN($I26))),0))</f>
        <v>N/A</v>
      </c>
      <c r="N26" s="178" t="str">
        <f>IF(OR(AND(ISBLANK(D26),E26&lt;&gt;""),AND(D26="Ja",ISBLANK(E26)),AND(C26="Irrelevant",OR(D26&lt;&gt;"",E26&lt;&gt;"")),C26="",AND(C26="Ja",D26="Ja"),AND(E26&lt;&gt;"",E26&lt;$C$11),AND(C26="Nein",D26=""),AND(C26="Ja",$C$11&gt;$C$10),$C$11=""),"N/A",IF($C26="Nein",IF($D26="Nein",1,N(MONTH($E26)&gt;1+COLUMN()-COLUMN($I26))),0))</f>
        <v>N/A</v>
      </c>
      <c r="O26" s="178" t="str">
        <f>IF(OR(AND(ISBLANK(D26),E26&lt;&gt;""),AND(D26="Ja",ISBLANK(E26)),AND(C26="Irrelevant",OR(D26&lt;&gt;"",E26&lt;&gt;"")),C26="",AND(C26="Ja",D26="Ja"),AND(E26&lt;&gt;"",E26&lt;$C$11),AND(C26="Nein",D26=""),AND(C26="Ja",$C$11&gt;$C$10),$C$11=""),"N/A",IF($C26="Nein",IF($D26="Nein",1,N(MONTH($E26)&gt;1+COLUMN()-COLUMN($I26))),0))</f>
        <v>N/A</v>
      </c>
      <c r="P26" s="178" t="str">
        <f>IF(OR(AND(ISBLANK(D26),E26&lt;&gt;""),AND(D26="Ja",ISBLANK(E26)),AND(C26="Irrelevant",OR(D26&lt;&gt;"",E26&lt;&gt;"")),C26="",AND(C26="Ja",D26="Ja"),AND(E26&lt;&gt;"",E26&lt;$C$11),AND(C26="Nein",D26=""),AND(C26="Ja",$C$11&gt;$C$10),$C$11=""),"N/A",IF($C26="Nein",IF($D26="Nein",1,N(MONTH($E26)&gt;1+COLUMN()-COLUMN($I26))),0))</f>
        <v>N/A</v>
      </c>
      <c r="Q26" s="178" t="str">
        <f>IF(OR(AND(ISBLANK(D26),E26&lt;&gt;""),AND(D26="Ja",ISBLANK(E26)),AND(C26="Irrelevant",OR(D26&lt;&gt;"",E26&lt;&gt;"")),C26="",AND(C26="Ja",D26="Ja"),AND(E26&lt;&gt;"",E26&lt;$C$11),AND(C26="Nein",D26=""),AND(C26="Ja",$C$11&gt;$C$10),$C$11=""),"N/A",IF($C26="Nein",IF($D26="Nein",1,N(MONTH($E26)&gt;1+COLUMN()-COLUMN($I26))),0))</f>
        <v>N/A</v>
      </c>
      <c r="R26" s="178" t="str">
        <f>IF(OR(AND(ISBLANK(D26),E26&lt;&gt;""),AND(D26="Ja",ISBLANK(E26)),AND(C26="Irrelevant",OR(D26&lt;&gt;"",E26&lt;&gt;"")),C26="",AND(C26="Ja",D26="Ja"),AND(E26&lt;&gt;"",E26&lt;$C$11),AND(C26="Nein",D26=""),AND(C26="Ja",$C$11&gt;$C$10),$C$11=""),"N/A",IF($C26="Nein",IF($D26="Nein",1,N(MONTH($E26)&gt;1+COLUMN()-COLUMN($I26))),0))</f>
        <v>N/A</v>
      </c>
      <c r="S26" s="178" t="str">
        <f>IF(OR(AND(ISBLANK(D26),E26&lt;&gt;""),AND(D26="Ja",ISBLANK(E26)),AND(C26="Irrelevant",OR(D26&lt;&gt;"",E26&lt;&gt;"")),C26="",AND(C26="Ja",D26="Ja"),AND(E26&lt;&gt;"",E26&lt;$C$11),AND(C26="Nein",D26=""),AND(C26="Ja",$C$11&gt;$C$10),$C$11=""),"N/A",IF($C26="Nein",IF($D26="Nein",1,N(MONTH($E26)&gt;1+COLUMN()-COLUMN($I26))),0))</f>
        <v>N/A</v>
      </c>
      <c r="T26" s="178" t="str">
        <f>IF(OR(AND(ISBLANK(D26),E26&lt;&gt;""),AND(D26="Ja",ISBLANK(E26)),AND(C26="Irrelevant",OR(D26&lt;&gt;"",E26&lt;&gt;"")),C26="",AND(C26="Ja",D26="Ja"),AND(E26&lt;&gt;"",E26&lt;$C$11),AND(C26="Nein",D26=""),AND(C26="Ja",$C$11&gt;$C$10),$C$11=""),"N/A",IF($C26="Nein",IF($D26="Nein",1,N(MONTH($E26)&gt;1+COLUMN()-COLUMN($I26))),0))</f>
        <v>N/A</v>
      </c>
    </row>
    <row r="27" spans="2:20" ht="14.5" x14ac:dyDescent="0.35">
      <c r="B27" s="97" t="s">
        <v>79</v>
      </c>
      <c r="C27" s="169"/>
      <c r="D27" s="134"/>
      <c r="E27" s="131"/>
      <c r="F27" s="135" t="str">
        <f t="shared" ref="F27:F30" si="0">IF(COUNTIF(I27:T27,"N/A")&gt;0,"N/A",SUM(I27:T27))</f>
        <v>N/A</v>
      </c>
      <c r="H27" s="175" t="s">
        <v>79</v>
      </c>
      <c r="I27" s="179" t="str">
        <f t="shared" ref="I27:I28" si="1">IF(OR(AND(ISBLANK(D27),E27&lt;&gt;""),AND(D27="Ja",ISBLANK(E27)),AND(C27="Irrelevant",OR(D27&lt;&gt;"",E27&lt;&gt;"")),C27="",AND(C27="Ja",D27="Ja"),AND(E27&lt;&gt;"",E27&lt;$C$11),AND(C27="Nein",D27=""),AND(C27="Ja",$C$11&gt;$C$10),$C$11=""),"N/A",IF($C27="Nein",IF($D27="Nein",1,N(MONTH($E27)&gt;1+COLUMN()-COLUMN($I27))),0))</f>
        <v>N/A</v>
      </c>
      <c r="J27" s="163" t="str">
        <f t="shared" ref="J27:J29" si="2">IF(OR(AND(ISBLANK(D27),E27&lt;&gt;""),AND(D27="Ja",ISBLANK(E27)),AND(C27="Irrelevant",OR(D27&lt;&gt;"",E27&lt;&gt;"")),C27="",AND(C27="Ja",D27="Ja"),AND(E27&lt;&gt;"",E27&lt;$C$11),AND(C27="Nein",D27=""),AND(C27="Ja",$C$11&gt;$C$10),$C$11=""),"N/A",IF($C27="Nein",IF($D27="Nein",1,N(MONTH($E27)&gt;1+COLUMN()-COLUMN($I27))),0))</f>
        <v>N/A</v>
      </c>
      <c r="K27" s="163" t="str">
        <f t="shared" ref="K27:K29" si="3">IF(OR(AND(ISBLANK(D27),E27&lt;&gt;""),AND(D27="Ja",ISBLANK(E27)),AND(C27="Irrelevant",OR(D27&lt;&gt;"",E27&lt;&gt;"")),C27="",AND(C27="Ja",D27="Ja"),AND(E27&lt;&gt;"",E27&lt;$C$11),AND(C27="Nein",D27=""),AND(C27="Ja",$C$11&gt;$C$10),$C$11=""),"N/A",IF($C27="Nein",IF($D27="Nein",1,N(MONTH($E27)&gt;1+COLUMN()-COLUMN($I27))),0))</f>
        <v>N/A</v>
      </c>
      <c r="L27" s="163" t="str">
        <f t="shared" ref="L27:L29" si="4">IF(OR(AND(ISBLANK(D27),E27&lt;&gt;""),AND(D27="Ja",ISBLANK(E27)),AND(C27="Irrelevant",OR(D27&lt;&gt;"",E27&lt;&gt;"")),C27="",AND(C27="Ja",D27="Ja"),AND(E27&lt;&gt;"",E27&lt;$C$11),AND(C27="Nein",D27=""),AND(C27="Ja",$C$11&gt;$C$10),$C$11=""),"N/A",IF($C27="Nein",IF($D27="Nein",1,N(MONTH($E27)&gt;1+COLUMN()-COLUMN($I27))),0))</f>
        <v>N/A</v>
      </c>
      <c r="M27" s="163" t="str">
        <f t="shared" ref="M27:M29" si="5">IF(OR(AND(ISBLANK(D27),E27&lt;&gt;""),AND(D27="Ja",ISBLANK(E27)),AND(C27="Irrelevant",OR(D27&lt;&gt;"",E27&lt;&gt;"")),C27="",AND(C27="Ja",D27="Ja"),AND(E27&lt;&gt;"",E27&lt;$C$11),AND(C27="Nein",D27=""),AND(C27="Ja",$C$11&gt;$C$10),$C$11=""),"N/A",IF($C27="Nein",IF($D27="Nein",1,N(MONTH($E27)&gt;1+COLUMN()-COLUMN($I27))),0))</f>
        <v>N/A</v>
      </c>
      <c r="N27" s="163" t="str">
        <f t="shared" ref="N27:N29" si="6">IF(OR(AND(ISBLANK(D27),E27&lt;&gt;""),AND(D27="Ja",ISBLANK(E27)),AND(C27="Irrelevant",OR(D27&lt;&gt;"",E27&lt;&gt;"")),C27="",AND(C27="Ja",D27="Ja"),AND(E27&lt;&gt;"",E27&lt;$C$11),AND(C27="Nein",D27=""),AND(C27="Ja",$C$11&gt;$C$10),$C$11=""),"N/A",IF($C27="Nein",IF($D27="Nein",1,N(MONTH($E27)&gt;1+COLUMN()-COLUMN($I27))),0))</f>
        <v>N/A</v>
      </c>
      <c r="O27" s="163" t="str">
        <f t="shared" ref="O27:O29" si="7">IF(OR(AND(ISBLANK(D27),E27&lt;&gt;""),AND(D27="Ja",ISBLANK(E27)),AND(C27="Irrelevant",OR(D27&lt;&gt;"",E27&lt;&gt;"")),C27="",AND(C27="Ja",D27="Ja"),AND(E27&lt;&gt;"",E27&lt;$C$11),AND(C27="Nein",D27=""),AND(C27="Ja",$C$11&gt;$C$10),$C$11=""),"N/A",IF($C27="Nein",IF($D27="Nein",1,N(MONTH($E27)&gt;1+COLUMN()-COLUMN($I27))),0))</f>
        <v>N/A</v>
      </c>
      <c r="P27" s="163" t="str">
        <f t="shared" ref="P27:P29" si="8">IF(OR(AND(ISBLANK(D27),E27&lt;&gt;""),AND(D27="Ja",ISBLANK(E27)),AND(C27="Irrelevant",OR(D27&lt;&gt;"",E27&lt;&gt;"")),C27="",AND(C27="Ja",D27="Ja"),AND(E27&lt;&gt;"",E27&lt;$C$11),AND(C27="Nein",D27=""),AND(C27="Ja",$C$11&gt;$C$10),$C$11=""),"N/A",IF($C27="Nein",IF($D27="Nein",1,N(MONTH($E27)&gt;1+COLUMN()-COLUMN($I27))),0))</f>
        <v>N/A</v>
      </c>
      <c r="Q27" s="163" t="str">
        <f t="shared" ref="Q27:Q30" si="9">IF(OR(AND(ISBLANK(D27),E27&lt;&gt;""),AND(D27="Ja",ISBLANK(E27)),AND(C27="Irrelevant",OR(D27&lt;&gt;"",E27&lt;&gt;"")),C27="",AND(C27="Ja",D27="Ja"),AND(E27&lt;&gt;"",E27&lt;$C$11),AND(C27="Nein",D27=""),AND(C27="Ja",$C$11&gt;$C$10),$C$11=""),"N/A",IF($C27="Nein",IF($D27="Nein",1,N(MONTH($E27)&gt;1+COLUMN()-COLUMN($I27))),0))</f>
        <v>N/A</v>
      </c>
      <c r="R27" s="163" t="str">
        <f t="shared" ref="R27:R30" si="10">IF(OR(AND(ISBLANK(D27),E27&lt;&gt;""),AND(D27="Ja",ISBLANK(E27)),AND(C27="Irrelevant",OR(D27&lt;&gt;"",E27&lt;&gt;"")),C27="",AND(C27="Ja",D27="Ja"),AND(E27&lt;&gt;"",E27&lt;$C$11),AND(C27="Nein",D27=""),AND(C27="Ja",$C$11&gt;$C$10),$C$11=""),"N/A",IF($C27="Nein",IF($D27="Nein",1,N(MONTH($E27)&gt;1+COLUMN()-COLUMN($I27))),0))</f>
        <v>N/A</v>
      </c>
      <c r="S27" s="163" t="str">
        <f t="shared" ref="S27:S30" si="11">IF(OR(AND(ISBLANK(D27),E27&lt;&gt;""),AND(D27="Ja",ISBLANK(E27)),AND(C27="Irrelevant",OR(D27&lt;&gt;"",E27&lt;&gt;"")),C27="",AND(C27="Ja",D27="Ja"),AND(E27&lt;&gt;"",E27&lt;$C$11),AND(C27="Nein",D27=""),AND(C27="Ja",$C$11&gt;$C$10),$C$11=""),"N/A",IF($C27="Nein",IF($D27="Nein",1,N(MONTH($E27)&gt;1+COLUMN()-COLUMN($I27))),0))</f>
        <v>N/A</v>
      </c>
      <c r="T27" s="163" t="str">
        <f t="shared" ref="T27:T30" si="12">IF(OR(AND(ISBLANK(D27),E27&lt;&gt;""),AND(D27="Ja",ISBLANK(E27)),AND(C27="Irrelevant",OR(D27&lt;&gt;"",E27&lt;&gt;"")),C27="",AND(C27="Ja",D27="Ja"),AND(E27&lt;&gt;"",E27&lt;$C$11),AND(C27="Nein",D27=""),AND(C27="Ja",$C$11&gt;$C$10),$C$11=""),"N/A",IF($C27="Nein",IF($D27="Nein",1,N(MONTH($E27)&gt;1+COLUMN()-COLUMN($I27))),0))</f>
        <v>N/A</v>
      </c>
    </row>
    <row r="28" spans="2:20" ht="14.5" x14ac:dyDescent="0.35">
      <c r="B28" s="123" t="s">
        <v>80</v>
      </c>
      <c r="C28" s="132"/>
      <c r="D28" s="130"/>
      <c r="E28" s="131"/>
      <c r="F28" s="135" t="str">
        <f t="shared" si="0"/>
        <v>N/A</v>
      </c>
      <c r="H28" s="175" t="s">
        <v>80</v>
      </c>
      <c r="I28" s="179" t="str">
        <f t="shared" si="1"/>
        <v>N/A</v>
      </c>
      <c r="J28" s="163" t="str">
        <f t="shared" si="2"/>
        <v>N/A</v>
      </c>
      <c r="K28" s="163" t="str">
        <f t="shared" si="3"/>
        <v>N/A</v>
      </c>
      <c r="L28" s="163" t="str">
        <f t="shared" si="4"/>
        <v>N/A</v>
      </c>
      <c r="M28" s="163" t="str">
        <f t="shared" si="5"/>
        <v>N/A</v>
      </c>
      <c r="N28" s="163" t="str">
        <f t="shared" si="6"/>
        <v>N/A</v>
      </c>
      <c r="O28" s="163" t="str">
        <f>IF(OR(AND(ISBLANK(D28),E28&lt;&gt;""),AND(D28="Ja",ISBLANK(E28)),AND(C28="Irrelevant",OR(D28&lt;&gt;"",E28&lt;&gt;"")),C28="",AND(C28="Ja",D28="Ja"),AND(E28&lt;&gt;"",E28&lt;$C$11),AND(C28="Nein",D28=""),AND(C28="Ja",$C$11&gt;$C$10),$C$11=""),"N/A",IF($C28="Nein",IF($D28="Nein",1,N(MONTH($E28)&gt;1+COLUMN()-COLUMN($I28))),0))</f>
        <v>N/A</v>
      </c>
      <c r="P28" s="163" t="str">
        <f t="shared" si="8"/>
        <v>N/A</v>
      </c>
      <c r="Q28" s="163" t="str">
        <f t="shared" si="9"/>
        <v>N/A</v>
      </c>
      <c r="R28" s="163" t="str">
        <f t="shared" si="10"/>
        <v>N/A</v>
      </c>
      <c r="S28" s="163" t="str">
        <f t="shared" si="11"/>
        <v>N/A</v>
      </c>
      <c r="T28" s="163" t="str">
        <f t="shared" si="12"/>
        <v>N/A</v>
      </c>
    </row>
    <row r="29" spans="2:20" ht="14.5" x14ac:dyDescent="0.35">
      <c r="B29" s="123" t="s">
        <v>81</v>
      </c>
      <c r="C29" s="129"/>
      <c r="D29" s="130"/>
      <c r="E29" s="128"/>
      <c r="F29" s="135" t="str">
        <f t="shared" si="0"/>
        <v>N/A</v>
      </c>
      <c r="H29" s="175" t="s">
        <v>81</v>
      </c>
      <c r="I29" s="179" t="str">
        <f>IF(OR(AND(ISBLANK(D29),E29&lt;&gt;""),AND(D29="Ja",ISBLANK(E29)),AND(C29="Irrelevant",OR(D29&lt;&gt;"",E29&lt;&gt;"")),C29="",AND(C29="Ja",D29="Ja"),AND(E29&lt;&gt;"",E29&lt;$C$11),AND(C29="Nein",D29=""),AND(C29="Ja",$C$11&gt;$C$10),$C$11=""),"N/A",IF($C29="Nein",IF($D29="Nein",1,N(MONTH($E29)&gt;1+COLUMN()-COLUMN($I29))),0))</f>
        <v>N/A</v>
      </c>
      <c r="J29" s="163" t="str">
        <f t="shared" si="2"/>
        <v>N/A</v>
      </c>
      <c r="K29" s="163" t="str">
        <f t="shared" si="3"/>
        <v>N/A</v>
      </c>
      <c r="L29" s="163" t="str">
        <f t="shared" si="4"/>
        <v>N/A</v>
      </c>
      <c r="M29" s="163" t="str">
        <f t="shared" si="5"/>
        <v>N/A</v>
      </c>
      <c r="N29" s="163" t="str">
        <f t="shared" si="6"/>
        <v>N/A</v>
      </c>
      <c r="O29" s="163" t="str">
        <f t="shared" si="7"/>
        <v>N/A</v>
      </c>
      <c r="P29" s="163" t="str">
        <f t="shared" si="8"/>
        <v>N/A</v>
      </c>
      <c r="Q29" s="163" t="str">
        <f t="shared" si="9"/>
        <v>N/A</v>
      </c>
      <c r="R29" s="163" t="str">
        <f t="shared" si="10"/>
        <v>N/A</v>
      </c>
      <c r="S29" s="163" t="str">
        <f t="shared" si="11"/>
        <v>N/A</v>
      </c>
      <c r="T29" s="163" t="str">
        <f t="shared" si="12"/>
        <v>N/A</v>
      </c>
    </row>
    <row r="30" spans="2:20" ht="14.5" x14ac:dyDescent="0.35">
      <c r="B30" s="123" t="s">
        <v>77</v>
      </c>
      <c r="C30" s="129"/>
      <c r="D30" s="130"/>
      <c r="E30" s="128"/>
      <c r="F30" s="135" t="str">
        <f t="shared" si="0"/>
        <v>N/A</v>
      </c>
      <c r="H30" s="176" t="s">
        <v>77</v>
      </c>
      <c r="I30" s="180"/>
      <c r="J30" s="181"/>
      <c r="K30" s="181"/>
      <c r="L30" s="181" t="str">
        <f>IF(OR(AND(ISBLANK(D30),E30&lt;&gt;""),AND(D30="Ja",ISBLANK(E30)),AND(C30="Irrelevant",OR(D30&lt;&gt;"",E30&lt;&gt;"")),C30="",AND(C30="Ja",D30="Ja"),AND(E30&lt;&gt;"",E30&lt;$C$11),AND(C30="Nein",D30=""),AND(C30="Ja",$C$11&gt;$C$10),$C$11=""),"N/A",IF($C30="Nein",IF($D30="Nein",1,N(MONTH($E30)&gt;1+COLUMN()-COLUMN($I30))),0))</f>
        <v>N/A</v>
      </c>
      <c r="M30" s="181" t="str">
        <f>IF(OR(AND(ISBLANK(D30),E30&lt;&gt;""),AND(D30="Ja",ISBLANK(E30)),AND(C30="Irrelevant",OR(D30&lt;&gt;"",E30&lt;&gt;"")),C30="",AND(C30="Ja",D30="Ja"),AND(E30&lt;&gt;"",E30&lt;$C$11),AND(C30="Nein",D30=""),AND(C30="Ja",$C$11&gt;$C$10),$C$11=""),"N/A",IF($C30="Nein",IF($D30="Nein",1,N(MONTH($E30)&gt;1+COLUMN()-COLUMN($I30))),0))</f>
        <v>N/A</v>
      </c>
      <c r="N30" s="181" t="str">
        <f>IF(OR(AND(ISBLANK(D30),E30&lt;&gt;""),AND(D30="Ja",ISBLANK(E30)),AND(C30="Irrelevant",OR(D30&lt;&gt;"",E30&lt;&gt;"")),C30="",AND(C30="Ja",D30="Ja"),AND(E30&lt;&gt;"",E30&lt;$C$11),AND(C30="Nein",D30=""),AND(C30="Ja",$C$11&gt;$C$10),$C$11=""),"N/A",IF($C30="Nein",IF($D30="Nein",1,N(MONTH($E30)&gt;1+COLUMN()-COLUMN($I30))),0))</f>
        <v>N/A</v>
      </c>
      <c r="O30" s="181" t="str">
        <f>IF(OR(AND(ISBLANK(D30),E30&lt;&gt;""),AND(D30="Ja",ISBLANK(E30)),AND(C30="Irrelevant",OR(D30&lt;&gt;"",E30&lt;&gt;"")),C30="",AND(C30="Ja",D30="Ja"),AND(E30&lt;&gt;"",E30&lt;$C$11),AND(C30="Nein",D30=""),AND(C30="Ja",$C$11&gt;$C$10),$C$11=""),"N/A",IF($C30="Nein",IF($D30="Nein",1,N(MONTH($E30)&gt;1+COLUMN()-COLUMN($I30))),0))</f>
        <v>N/A</v>
      </c>
      <c r="P30" s="181" t="str">
        <f>IF(OR(AND(ISBLANK(D30),E30&lt;&gt;""),AND(D30="Ja",ISBLANK(E30)),AND(C30="Irrelevant",OR(D30&lt;&gt;"",E30&lt;&gt;"")),C30="",AND(C30="Ja",D30="Ja"),AND(E30&lt;&gt;"",E30&lt;$C$11),AND(C30="Nein",D30=""),AND(C30="Ja",$C$11&gt;$C$10),$C$11=""),"N/A",IF($C30="Nein",IF($D30="Nein",1,N(MONTH($E30)&gt;1+COLUMN()-COLUMN($I30))),0))</f>
        <v>N/A</v>
      </c>
      <c r="Q30" s="181" t="str">
        <f t="shared" si="9"/>
        <v>N/A</v>
      </c>
      <c r="R30" s="181" t="str">
        <f t="shared" si="10"/>
        <v>N/A</v>
      </c>
      <c r="S30" s="181" t="str">
        <f t="shared" si="11"/>
        <v>N/A</v>
      </c>
      <c r="T30" s="181" t="str">
        <f t="shared" si="12"/>
        <v>N/A</v>
      </c>
    </row>
    <row r="31" spans="2:20" ht="14.5" x14ac:dyDescent="0.35">
      <c r="B31" s="108"/>
      <c r="C31" s="96"/>
      <c r="D31" s="136"/>
      <c r="E31" s="126"/>
      <c r="F31" s="124"/>
      <c r="G31" s="159"/>
      <c r="H31" s="163" t="s">
        <v>132</v>
      </c>
      <c r="I31" s="177" t="str">
        <f>IF(COUNTIF(I26:I30,"N/A")&gt;0,"N/A",SUM(I26:I30))</f>
        <v>N/A</v>
      </c>
      <c r="J31" s="163" t="str">
        <f t="shared" ref="J31:T31" si="13">IF(COUNTIF(J26:J30,"N/A")&gt;0,"N/A",SUM(J26:J30))</f>
        <v>N/A</v>
      </c>
      <c r="K31" s="163" t="str">
        <f t="shared" si="13"/>
        <v>N/A</v>
      </c>
      <c r="L31" s="163" t="str">
        <f t="shared" si="13"/>
        <v>N/A</v>
      </c>
      <c r="M31" s="163" t="str">
        <f t="shared" si="13"/>
        <v>N/A</v>
      </c>
      <c r="N31" s="163" t="str">
        <f>IF(COUNTIF(N26:N30,"N/A")&gt;0,"N/A",SUM(N26:N30))</f>
        <v>N/A</v>
      </c>
      <c r="O31" s="163" t="str">
        <f t="shared" si="13"/>
        <v>N/A</v>
      </c>
      <c r="P31" s="163" t="str">
        <f t="shared" si="13"/>
        <v>N/A</v>
      </c>
      <c r="Q31" s="163" t="str">
        <f t="shared" si="13"/>
        <v>N/A</v>
      </c>
      <c r="R31" s="163" t="str">
        <f t="shared" si="13"/>
        <v>N/A</v>
      </c>
      <c r="S31" s="163" t="str">
        <f t="shared" si="13"/>
        <v>N/A</v>
      </c>
      <c r="T31" s="163" t="str">
        <f t="shared" si="13"/>
        <v>N/A</v>
      </c>
    </row>
    <row r="32" spans="2:20" ht="14.5" x14ac:dyDescent="0.35">
      <c r="B32" s="108"/>
      <c r="C32" s="96"/>
      <c r="D32" s="184"/>
      <c r="E32" s="145" t="s">
        <v>83</v>
      </c>
      <c r="F32" s="154" t="s">
        <v>84</v>
      </c>
      <c r="H32" s="163"/>
      <c r="I32" s="179"/>
      <c r="J32" s="163"/>
      <c r="K32" s="163"/>
      <c r="L32" s="163"/>
      <c r="M32" s="163"/>
      <c r="N32" s="163"/>
      <c r="O32" s="163"/>
      <c r="P32" s="163"/>
      <c r="Q32" s="163"/>
      <c r="R32" s="163"/>
      <c r="S32" s="163"/>
      <c r="T32" s="163"/>
    </row>
    <row r="33" spans="2:20" ht="14.5" x14ac:dyDescent="0.35">
      <c r="B33" s="259" t="s">
        <v>106</v>
      </c>
      <c r="C33" s="259"/>
      <c r="D33" s="259"/>
      <c r="E33" s="146" t="str">
        <f>IF(E10="N/A","N/A",IF(OR(C11&lt;DATE(2021,1,1),C11&gt;DATE(2023,12,31)),MIN(12,MAX(0,E10)),MIN(MAX(E10-30,0),12)))</f>
        <v>N/A</v>
      </c>
      <c r="F33" s="146" t="str">
        <f>IF(E33="N/A","N/A",IF(OR(C11&lt;DATE(2021,1,1),C11&gt;DATE(2023,12,31)),0,IF(E10&lt;0,0,IF(E10&lt;12,E10,12-E33))))</f>
        <v>N/A</v>
      </c>
      <c r="G33" s="160"/>
      <c r="H33" s="164" t="s">
        <v>133</v>
      </c>
      <c r="I33" s="185" t="str">
        <f>IF($E$10&gt;=12-COLUMN()+COLUMN($I33),IF(OR($C$11&lt;DATE(2021,1,1),$C$11&gt;DATE(2023,12,31)),"V",IF(1+COLUMN()-COLUMN($I33)&lt;=12-MIN(MAX($E$10-30,0),12),"R","V")),"")</f>
        <v>V</v>
      </c>
      <c r="J33" s="186" t="str">
        <f t="shared" ref="J33:T33" si="14">IF($E$10&gt;=12-COLUMN()+COLUMN($I33),IF(OR($C$11&lt;DATE(2021,1,1),$C$11&gt;DATE(2023,12,31)),"V",IF(1+COLUMN()-COLUMN($I33)&lt;=12-MIN(MAX($E$10-30,0),12),"R","V")),"")</f>
        <v>V</v>
      </c>
      <c r="K33" s="186" t="str">
        <f t="shared" si="14"/>
        <v>V</v>
      </c>
      <c r="L33" s="186" t="str">
        <f t="shared" si="14"/>
        <v>V</v>
      </c>
      <c r="M33" s="186" t="str">
        <f t="shared" si="14"/>
        <v>V</v>
      </c>
      <c r="N33" s="186" t="str">
        <f t="shared" si="14"/>
        <v>V</v>
      </c>
      <c r="O33" s="186" t="str">
        <f t="shared" si="14"/>
        <v>V</v>
      </c>
      <c r="P33" s="186" t="str">
        <f t="shared" si="14"/>
        <v>V</v>
      </c>
      <c r="Q33" s="186" t="str">
        <f t="shared" si="14"/>
        <v>V</v>
      </c>
      <c r="R33" s="186" t="str">
        <f t="shared" si="14"/>
        <v>V</v>
      </c>
      <c r="S33" s="186" t="str">
        <f t="shared" si="14"/>
        <v>V</v>
      </c>
      <c r="T33" s="186" t="str">
        <f t="shared" si="14"/>
        <v>V</v>
      </c>
    </row>
    <row r="34" spans="2:20" ht="14.5" x14ac:dyDescent="0.35">
      <c r="B34" s="97" t="s">
        <v>88</v>
      </c>
      <c r="C34" s="111"/>
      <c r="D34" s="111"/>
      <c r="E34" s="146" t="str" cm="1">
        <f t="array" ref="E34">IF(COUNTIF(I31:T31,"N/A")&gt;0,"N/A",SUM(N(I31:T31=0)*N(I33:T33="V")))</f>
        <v>N/A</v>
      </c>
      <c r="F34" s="146" t="str" cm="1">
        <f t="array" ref="F34">IF(COUNTIF(I31:T31,"N/A")&gt;0,"N/A",SUM(N(I31:T31=0)*N(I33:T33="R")))</f>
        <v>N/A</v>
      </c>
      <c r="H34" s="165"/>
      <c r="I34" s="93"/>
      <c r="J34" s="93"/>
      <c r="K34" s="93"/>
      <c r="L34" s="93"/>
      <c r="M34" s="93"/>
      <c r="N34" s="93"/>
      <c r="O34" s="93"/>
      <c r="P34" s="93"/>
      <c r="Q34" s="93"/>
      <c r="R34" s="93"/>
      <c r="S34" s="93"/>
      <c r="T34" s="93"/>
    </row>
    <row r="35" spans="2:20" ht="14.5" x14ac:dyDescent="0.35">
      <c r="B35" s="97" t="s">
        <v>89</v>
      </c>
      <c r="C35" s="111"/>
      <c r="D35" s="111"/>
      <c r="E35" s="146" t="str" cm="1">
        <f t="array" ref="E35">IF(COUNTIF(I31:T31,"N/A")&gt;0,"N/A",SUM(N(I31:T31=1)*N(I33:T33="V")))</f>
        <v>N/A</v>
      </c>
      <c r="F35" s="146" t="str" cm="1">
        <f t="array" ref="F35">IF(COUNTIF(I31:T31,"N/A")&gt;0,"N/A",SUM(N(I31:T31=1)*N(I33:T33="R")))</f>
        <v>N/A</v>
      </c>
      <c r="H35" s="165"/>
      <c r="I35" s="166"/>
      <c r="J35" s="165"/>
      <c r="K35" s="166"/>
      <c r="L35" s="166"/>
      <c r="M35" s="166"/>
      <c r="N35" s="166"/>
      <c r="O35" s="166"/>
      <c r="P35" s="166"/>
      <c r="Q35" s="166"/>
      <c r="R35" s="166"/>
      <c r="S35" s="166"/>
      <c r="T35" s="166"/>
    </row>
    <row r="36" spans="2:20" ht="14.5" x14ac:dyDescent="0.3">
      <c r="B36" s="97" t="s">
        <v>90</v>
      </c>
      <c r="C36" s="111"/>
      <c r="D36" s="111"/>
      <c r="E36" s="146" t="str" cm="1">
        <f t="array" ref="E36">IF(COUNTIF(I31:T31,"N/A")&gt;0,"N/A",SUM(N(I31:T31&gt;1)*N(I33:T33="V")))</f>
        <v>N/A</v>
      </c>
      <c r="F36" s="146" t="str" cm="1">
        <f t="array" ref="F36">IF(COUNTIF(I31:T31,"N/A")&gt;0,"N/A",SUM(N(I31:T31&gt;1)*N(I33:T33="R")))</f>
        <v>N/A</v>
      </c>
      <c r="I36" s="93"/>
      <c r="J36" s="93"/>
      <c r="K36" s="93"/>
      <c r="L36" s="93"/>
      <c r="M36" s="93"/>
      <c r="N36" s="93"/>
      <c r="O36" s="93"/>
      <c r="P36" s="93"/>
      <c r="Q36" s="93"/>
      <c r="R36" s="93"/>
      <c r="S36" s="93"/>
      <c r="T36" s="93"/>
    </row>
    <row r="37" spans="2:20" ht="14.5" x14ac:dyDescent="0.35">
      <c r="B37" s="99"/>
      <c r="C37" s="96"/>
      <c r="D37" s="184"/>
      <c r="E37" s="183"/>
      <c r="F37" s="183"/>
      <c r="I37" s="171"/>
      <c r="J37" s="93"/>
      <c r="K37" s="93"/>
      <c r="L37" s="93"/>
      <c r="M37" s="93"/>
      <c r="N37" s="93"/>
      <c r="O37" s="93"/>
      <c r="P37" s="93"/>
      <c r="Q37" s="93"/>
      <c r="R37" s="93"/>
      <c r="S37" s="93"/>
      <c r="T37" s="93"/>
    </row>
    <row r="38" spans="2:20" ht="45" customHeight="1" x14ac:dyDescent="0.3">
      <c r="B38" s="252" t="s">
        <v>94</v>
      </c>
      <c r="C38" s="252"/>
      <c r="D38" s="252"/>
      <c r="E38" s="252"/>
      <c r="F38" s="138" t="str">
        <f>IF(OR(F36="N/A",'Kalkulator für 2025'!F15="N/A",E36="N/A",'Kalkulator für 2025'!E15="N/A",F35="N/A",E35="N/A"),"N/A",(F36*'Kalkulator für 2025'!F15+E36*'Kalkulator für 2025'!E15)+(F35*'Kalkulator für 2025'!F15+E35*'Kalkulator für 2025'!E15)*0.5)</f>
        <v>N/A</v>
      </c>
    </row>
    <row r="39" spans="2:20" ht="14.5" x14ac:dyDescent="0.3">
      <c r="B39" s="112"/>
      <c r="C39" s="113"/>
      <c r="D39" s="113"/>
      <c r="E39" s="113"/>
      <c r="F39" s="114"/>
    </row>
    <row r="40" spans="2:20" ht="14.5" x14ac:dyDescent="0.3">
      <c r="B40" s="245" t="s">
        <v>104</v>
      </c>
      <c r="C40" s="245"/>
      <c r="D40" s="245"/>
      <c r="E40" s="245"/>
      <c r="F40" s="245"/>
    </row>
    <row r="41" spans="2:20" ht="14.5" x14ac:dyDescent="0.35">
      <c r="B41" s="108"/>
      <c r="C41" s="96"/>
      <c r="D41" s="184"/>
      <c r="E41" s="183"/>
      <c r="F41" s="96"/>
    </row>
    <row r="42" spans="2:20" ht="14.5" x14ac:dyDescent="0.3">
      <c r="B42" s="139" t="s">
        <v>100</v>
      </c>
      <c r="C42" s="111"/>
      <c r="D42" s="111"/>
      <c r="E42" s="111"/>
      <c r="F42" s="116" t="str">
        <f>E21</f>
        <v>N/A</v>
      </c>
    </row>
    <row r="43" spans="2:20" ht="14.5" x14ac:dyDescent="0.3">
      <c r="B43" s="97" t="s">
        <v>92</v>
      </c>
      <c r="C43" s="111"/>
      <c r="D43" s="111"/>
      <c r="E43" s="111"/>
      <c r="F43" s="116" t="str">
        <f>IF(F38="N/A","N/A",F38*-1)</f>
        <v>N/A</v>
      </c>
    </row>
    <row r="44" spans="2:20" ht="14.5" x14ac:dyDescent="0.3">
      <c r="B44" s="147" t="s">
        <v>107</v>
      </c>
      <c r="C44" s="111"/>
      <c r="D44" s="111"/>
      <c r="E44" s="111"/>
      <c r="F44" s="117">
        <v>0</v>
      </c>
    </row>
    <row r="45" spans="2:20" ht="14.5" x14ac:dyDescent="0.3">
      <c r="B45" s="115"/>
      <c r="C45" s="111"/>
      <c r="D45" s="111"/>
      <c r="E45" s="111"/>
      <c r="F45" s="116"/>
    </row>
    <row r="46" spans="2:20" ht="14.5" x14ac:dyDescent="0.3">
      <c r="B46" s="115" t="s">
        <v>103</v>
      </c>
      <c r="C46" s="111"/>
      <c r="D46" s="111"/>
      <c r="E46" s="111"/>
      <c r="F46" s="118" t="str">
        <f>IF(COUNTIF(F42:F43,"N/A")&gt;0,"N/A",F42+F43+F44)</f>
        <v>N/A</v>
      </c>
    </row>
    <row r="47" spans="2:20" ht="14.5" x14ac:dyDescent="0.3">
      <c r="B47" s="115"/>
      <c r="C47" s="111"/>
      <c r="D47" s="111"/>
      <c r="E47" s="111"/>
      <c r="F47" s="116"/>
    </row>
    <row r="48" spans="2:20" ht="14.5" x14ac:dyDescent="0.35">
      <c r="B48" s="97" t="s">
        <v>32</v>
      </c>
      <c r="C48" s="96"/>
      <c r="D48" s="111"/>
      <c r="E48" s="96"/>
      <c r="F48" s="119"/>
    </row>
    <row r="49" spans="2:20" ht="14.5" x14ac:dyDescent="0.35">
      <c r="B49" s="108"/>
      <c r="C49" s="96"/>
      <c r="D49" s="184"/>
      <c r="E49" s="183"/>
      <c r="F49" s="96"/>
    </row>
    <row r="50" spans="2:20" s="93" customFormat="1" ht="45" customHeight="1" x14ac:dyDescent="0.3">
      <c r="B50" s="246" t="s">
        <v>112</v>
      </c>
      <c r="C50" s="246"/>
      <c r="D50" s="246"/>
      <c r="E50" s="246"/>
      <c r="F50" s="137" t="str">
        <f>IF(OR(F46="N/A",F48=""),"N/A",ROUND(F46/F48,2))</f>
        <v>N/A</v>
      </c>
      <c r="I50"/>
      <c r="J50"/>
      <c r="K50"/>
      <c r="L50"/>
      <c r="M50"/>
      <c r="N50"/>
      <c r="O50"/>
      <c r="P50"/>
      <c r="Q50"/>
      <c r="R50"/>
      <c r="S50"/>
      <c r="T50"/>
    </row>
  </sheetData>
  <mergeCells count="13">
    <mergeCell ref="B50:E50"/>
    <mergeCell ref="B1:F1"/>
    <mergeCell ref="B2:F2"/>
    <mergeCell ref="B4:F4"/>
    <mergeCell ref="D10:D11"/>
    <mergeCell ref="E10:E11"/>
    <mergeCell ref="B21:D21"/>
    <mergeCell ref="E21:F21"/>
    <mergeCell ref="B23:F23"/>
    <mergeCell ref="B25:C25"/>
    <mergeCell ref="B33:D33"/>
    <mergeCell ref="B38:E38"/>
    <mergeCell ref="B40:F40"/>
  </mergeCells>
  <conditionalFormatting sqref="B34:D36">
    <cfRule type="expression" dxfId="19" priority="11">
      <formula>AND(OR(XEU23="Ja", XEU23="Irrelevant"), OR(XEU24="Ja", XEU24="Irrelevant"), OR(XEU25="Ja", XEU25="Irrelevant"))</formula>
    </cfRule>
  </conditionalFormatting>
  <conditionalFormatting sqref="B37:F37">
    <cfRule type="expression" dxfId="18" priority="18">
      <formula>AND(OR(XEU27="Ja", XEU27="Irrelevant"), OR(XEU28="Ja", XEU28="Irrelevant"), OR(XEU31="Ja", XEU31="Irrelevant"))</formula>
    </cfRule>
  </conditionalFormatting>
  <conditionalFormatting sqref="B38:F38">
    <cfRule type="expression" dxfId="17" priority="19">
      <formula>AND(OR(XEU35="Ja", XEU35="Irrelevant"), OR(XEU36="Ja", XEU36="Irrelevant"), OR(#REF!="Ja", #REF!="Irrelevant"))</formula>
    </cfRule>
  </conditionalFormatting>
  <conditionalFormatting sqref="D26">
    <cfRule type="expression" dxfId="16" priority="17">
      <formula>OR($C$26="Ja",$C$26="",$C$26="Irrelevant")</formula>
    </cfRule>
  </conditionalFormatting>
  <conditionalFormatting sqref="D27">
    <cfRule type="expression" dxfId="15" priority="16">
      <formula>OR($C$27="Ja",$C$27="",$C$27="Irrelevant")</formula>
    </cfRule>
  </conditionalFormatting>
  <conditionalFormatting sqref="D28">
    <cfRule type="expression" dxfId="14" priority="15">
      <formula>OR($C$28="Ja",$C$28="",$C$28="Irrelevant")</formula>
    </cfRule>
  </conditionalFormatting>
  <conditionalFormatting sqref="D29">
    <cfRule type="expression" dxfId="13" priority="9">
      <formula>OR($C$29="Ja",$C$29="",$C$29="Irrelevant")</formula>
    </cfRule>
  </conditionalFormatting>
  <conditionalFormatting sqref="D30">
    <cfRule type="expression" dxfId="12" priority="7">
      <formula>OR($C$30="Ja",$C$30="",$C$30="Irrelevant")</formula>
    </cfRule>
  </conditionalFormatting>
  <conditionalFormatting sqref="E26">
    <cfRule type="expression" dxfId="11" priority="14">
      <formula>OR($D$26&lt;&gt;"Ja",$C$26="",AND($C$26="Ja",$D$26="Ja"),$C$26="Irrelevant")</formula>
    </cfRule>
  </conditionalFormatting>
  <conditionalFormatting sqref="E26:E30">
    <cfRule type="expression" dxfId="10" priority="5">
      <formula>AND(N(E26)&lt;&gt;0,OR(E26&lt;DATE(YEAR($C$10)-1,1,1),E26&gt;=$C$10))</formula>
    </cfRule>
  </conditionalFormatting>
  <conditionalFormatting sqref="E27">
    <cfRule type="expression" dxfId="9" priority="13">
      <formula>OR($D$27&lt;&gt;"Ja",$C$27="",AND($C$27="Ja",$D$27="Ja"),$C$27="Irrelevant")</formula>
    </cfRule>
  </conditionalFormatting>
  <conditionalFormatting sqref="E28">
    <cfRule type="expression" dxfId="8" priority="12">
      <formula>OR($D$28&lt;&gt;"Ja",$C$28="",AND($C$28="Ja",$D$28="Ja"),$C$28="Irrelevant")</formula>
    </cfRule>
  </conditionalFormatting>
  <conditionalFormatting sqref="E29">
    <cfRule type="expression" dxfId="7" priority="8">
      <formula>OR($D$29&lt;&gt;"Ja",$C$29="",AND($C$29="Ja",$D$29="Ja"),$C$29="Irrelevant")</formula>
    </cfRule>
  </conditionalFormatting>
  <conditionalFormatting sqref="E30">
    <cfRule type="expression" dxfId="6" priority="6">
      <formula>OR($D$30&lt;&gt;"Ja",$C$30="",AND($C$30="Ja",$D$30="Ja"),$C$30="Irrelevant")</formula>
    </cfRule>
  </conditionalFormatting>
  <conditionalFormatting sqref="E34:E36">
    <cfRule type="expression" dxfId="5" priority="20">
      <formula>AND(OR(XEY23="Ja", XEY23="Irrelevant"), OR(XEY24="Ja", XEY24="Irrelevant"), OR(XEY25="Ja", XEY25="Irrelevant"))</formula>
    </cfRule>
  </conditionalFormatting>
  <conditionalFormatting sqref="F34:F36">
    <cfRule type="expression" dxfId="4" priority="10">
      <formula>AND(OR(A23="Ja", A23="Irrelevant"), OR(A24="Ja", A24="Irrelevant"), OR(A25="Ja", A25="Irrelevant"))</formula>
    </cfRule>
  </conditionalFormatting>
  <conditionalFormatting sqref="F19">
    <cfRule type="expression" dxfId="3" priority="4">
      <formula>AND(OR(A10="Ja", A10="Irrelevant"), OR(A11="Ja", A11="Irrelevant"), OR(A12="Ja", A12="Irrelevant"))</formula>
    </cfRule>
  </conditionalFormatting>
  <conditionalFormatting sqref="E19">
    <cfRule type="expression" dxfId="2" priority="3">
      <formula>AND(OR(XEH10="Ja", XEH10="Irrelevant"), OR(XEH11="Ja", XEH11="Irrelevant"), OR(XEH12="Ja", XEH12="Irrelevant"))</formula>
    </cfRule>
  </conditionalFormatting>
  <conditionalFormatting sqref="E33">
    <cfRule type="expression" dxfId="1" priority="2">
      <formula>AND(OR(XEH24="Ja", XEH24="Irrelevant"), OR(XEH25="Ja", XEH25="Irrelevant"), OR(XEH26="Ja", XEH26="Irrelevant"))</formula>
    </cfRule>
  </conditionalFormatting>
  <conditionalFormatting sqref="F33">
    <cfRule type="expression" dxfId="0" priority="1">
      <formula>AND(OR(A24="Ja", A24="Irrelevant"), OR(A25="Ja", A25="Irrelevant"), OR(A26="Ja", A26="Irrelevant"))</formula>
    </cfRule>
  </conditionalFormatting>
  <dataValidations count="5">
    <dataValidation type="date" errorStyle="warning" allowBlank="1" showInputMessage="1" showErrorMessage="1" errorTitle="Nicht im Ausgleichszeitraum" error="Die Datumseingabe muss zwischen dem 1.1. und dem 31.12. des Ausgleichjahres liegen." sqref="E26:E30" xr:uid="{ED216EFB-F49B-471F-A7A5-606AE1ACF531}">
      <formula1>DATE(YEAR($C$10)-1,1,1)</formula1>
      <formula2>DATE(YEAR($C$10)-1,12,31)</formula2>
    </dataValidation>
    <dataValidation type="whole" operator="greaterThan" allowBlank="1" showInputMessage="1" showErrorMessage="1" sqref="C15" xr:uid="{C17BC4F1-4517-4BEB-9B46-9C13F25FD609}">
      <formula1>0</formula1>
    </dataValidation>
    <dataValidation type="list" allowBlank="1" showInputMessage="1" showErrorMessage="1" sqref="D26:D30" xr:uid="{F4155BC8-12BA-450A-A69E-408424DA2812}">
      <formula1>"Ja,Nein"</formula1>
    </dataValidation>
    <dataValidation type="list" allowBlank="1" showInputMessage="1" showErrorMessage="1" sqref="C26:C30" xr:uid="{F85D203D-4C80-4469-8790-DA885BD3CDCA}">
      <formula1>"Ja,Nein,Irrelevant"</formula1>
    </dataValidation>
    <dataValidation type="date" operator="greaterThan" allowBlank="1" showInputMessage="1" showErrorMessage="1" sqref="C11" xr:uid="{3C586905-6FC3-4CA1-8A47-C3A0E964F836}">
      <formula1>1</formula1>
    </dataValidation>
  </dataValidations>
  <pageMargins left="0.7" right="0.7" top="0.78740157499999996" bottom="0.78740157499999996" header="0.3" footer="0.3"/>
  <pageSetup paperSize="9" orientation="portrait" verticalDpi="3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21"/>
  <sheetViews>
    <sheetView zoomScale="120" zoomScaleNormal="120" workbookViewId="0">
      <selection activeCell="G27" sqref="G27"/>
    </sheetView>
  </sheetViews>
  <sheetFormatPr baseColWidth="10" defaultRowHeight="14" x14ac:dyDescent="0.3"/>
  <cols>
    <col min="1" max="1" width="21.08203125" customWidth="1"/>
    <col min="2" max="2" width="11" customWidth="1"/>
    <col min="3" max="3" width="1.33203125" customWidth="1"/>
    <col min="4" max="4" width="12.75" customWidth="1"/>
    <col min="5" max="5" width="5.25" customWidth="1"/>
    <col min="6" max="6" width="2" customWidth="1"/>
    <col min="7" max="7" width="10.25" customWidth="1"/>
    <col min="8" max="8" width="4.75" customWidth="1"/>
    <col min="9" max="9" width="1.33203125" customWidth="1"/>
    <col min="10" max="10" width="18.08203125" customWidth="1"/>
    <col min="11" max="11" width="14.5" customWidth="1"/>
    <col min="12" max="12" width="1.25" customWidth="1"/>
    <col min="13" max="13" width="12.33203125" customWidth="1"/>
    <col min="14" max="14" width="12.5" customWidth="1"/>
    <col min="15" max="15" width="11.58203125" bestFit="1" customWidth="1"/>
  </cols>
  <sheetData>
    <row r="1" spans="1:15" ht="27" customHeight="1" x14ac:dyDescent="0.35">
      <c r="A1" s="191" t="s">
        <v>63</v>
      </c>
      <c r="B1" s="191"/>
      <c r="C1" s="191"/>
      <c r="D1" s="191"/>
      <c r="E1" s="191"/>
      <c r="F1" s="191"/>
      <c r="G1" s="191"/>
      <c r="H1" s="191"/>
      <c r="I1" s="191"/>
      <c r="J1" s="191"/>
      <c r="K1" s="191"/>
      <c r="L1" s="191"/>
      <c r="M1" s="191"/>
      <c r="N1" s="191"/>
    </row>
    <row r="2" spans="1:15" x14ac:dyDescent="0.3">
      <c r="A2" s="192" t="s">
        <v>62</v>
      </c>
      <c r="B2" s="192"/>
      <c r="C2" s="192"/>
      <c r="D2" s="192"/>
      <c r="E2" s="192"/>
      <c r="F2" s="192"/>
      <c r="G2" s="192"/>
      <c r="H2" s="192"/>
      <c r="I2" s="192"/>
      <c r="J2" s="192"/>
      <c r="K2" s="192"/>
      <c r="L2" s="192"/>
      <c r="M2" s="192"/>
      <c r="N2" s="192"/>
    </row>
    <row r="3" spans="1:15" ht="14.5" thickBot="1" x14ac:dyDescent="0.35"/>
    <row r="4" spans="1:15" ht="31.5" customHeight="1" x14ac:dyDescent="0.3">
      <c r="A4" s="210" t="s">
        <v>46</v>
      </c>
      <c r="B4" s="211"/>
      <c r="D4" s="204" t="s">
        <v>44</v>
      </c>
      <c r="E4" s="205"/>
      <c r="F4" s="2"/>
      <c r="G4" s="206" t="s">
        <v>38</v>
      </c>
      <c r="H4" s="207"/>
      <c r="I4" s="4"/>
      <c r="J4" s="208" t="s">
        <v>41</v>
      </c>
      <c r="K4" s="209"/>
      <c r="L4" s="2"/>
      <c r="M4" s="208" t="s">
        <v>19</v>
      </c>
      <c r="N4" s="209"/>
    </row>
    <row r="5" spans="1:15" ht="13.9" customHeight="1" x14ac:dyDescent="0.3">
      <c r="A5" s="19"/>
      <c r="B5" s="22"/>
      <c r="D5" s="18"/>
      <c r="E5" s="31"/>
      <c r="G5" s="27"/>
      <c r="H5" s="28"/>
      <c r="J5" s="5"/>
      <c r="K5" s="6"/>
      <c r="M5" s="5"/>
      <c r="N5" s="6"/>
    </row>
    <row r="6" spans="1:15" ht="13.9" customHeight="1" x14ac:dyDescent="0.3">
      <c r="A6" s="20" t="s">
        <v>0</v>
      </c>
      <c r="B6" s="44">
        <v>1420</v>
      </c>
      <c r="C6" s="3"/>
      <c r="D6" s="33" t="s">
        <v>6</v>
      </c>
      <c r="E6" s="38">
        <f>ROUNDUP(B6/25,0)</f>
        <v>57</v>
      </c>
      <c r="F6" s="3"/>
      <c r="G6" s="29" t="s">
        <v>10</v>
      </c>
      <c r="H6" s="35">
        <f>MAX(B14,ROUNDUP(E9/25,0))+B14</f>
        <v>10</v>
      </c>
      <c r="I6" s="3"/>
      <c r="J6" s="7" t="s">
        <v>12</v>
      </c>
      <c r="K6" s="24">
        <f>IF(H9="J",H7*3000,H6*1547)</f>
        <v>18000</v>
      </c>
      <c r="L6" s="3"/>
      <c r="M6" s="7" t="s">
        <v>20</v>
      </c>
      <c r="N6" s="24">
        <f>K6*0.2</f>
        <v>3600</v>
      </c>
    </row>
    <row r="7" spans="1:15" ht="13.9" customHeight="1" x14ac:dyDescent="0.3">
      <c r="A7" s="20" t="s">
        <v>1</v>
      </c>
      <c r="B7" s="44">
        <v>426</v>
      </c>
      <c r="C7" s="3"/>
      <c r="D7" s="33" t="s">
        <v>7</v>
      </c>
      <c r="E7" s="37">
        <f>B9+(B8)*3</f>
        <v>12</v>
      </c>
      <c r="F7" s="3"/>
      <c r="G7" s="29" t="s">
        <v>11</v>
      </c>
      <c r="H7" s="35">
        <f>MAX(ROUNDUP(E9/50,0),B14)+B14</f>
        <v>6</v>
      </c>
      <c r="I7" s="3"/>
      <c r="J7" s="7" t="s">
        <v>13</v>
      </c>
      <c r="K7" s="24">
        <f>IF(AND(H9="J",(H7-B14)&gt;1),2000,0)</f>
        <v>2000</v>
      </c>
      <c r="L7" s="3"/>
      <c r="M7" s="7" t="s">
        <v>21</v>
      </c>
      <c r="N7" s="24">
        <f>(IF(H9="J",H7,H6)-B14)*792</f>
        <v>3960</v>
      </c>
    </row>
    <row r="8" spans="1:15" ht="13.9" customHeight="1" thickBot="1" x14ac:dyDescent="0.35">
      <c r="A8" s="20" t="s">
        <v>2</v>
      </c>
      <c r="B8" s="44">
        <v>1</v>
      </c>
      <c r="C8" s="3"/>
      <c r="D8" s="33" t="s">
        <v>8</v>
      </c>
      <c r="E8" s="39">
        <f>ROUNDUP(B7/3,0)</f>
        <v>142</v>
      </c>
      <c r="F8" s="3"/>
      <c r="G8" s="29"/>
      <c r="H8" s="30"/>
      <c r="I8" s="3"/>
      <c r="J8" s="7" t="s">
        <v>14</v>
      </c>
      <c r="K8" s="23">
        <f>E9*435</f>
        <v>91785</v>
      </c>
      <c r="L8" s="3"/>
      <c r="M8" s="7" t="s">
        <v>22</v>
      </c>
      <c r="N8" s="24">
        <f>MIN((ROUNDUP(E9/25,0)-1)*1800+100,54100)</f>
        <v>14500</v>
      </c>
      <c r="O8" s="1" t="str">
        <f>IF(ROUNDUP(E9/25,0)&gt;30,((ROUNDUP(E9/25,0)-1)*1800-54000),"")</f>
        <v/>
      </c>
    </row>
    <row r="9" spans="1:15" ht="13.9" customHeight="1" thickBot="1" x14ac:dyDescent="0.35">
      <c r="A9" s="20" t="s">
        <v>3</v>
      </c>
      <c r="B9" s="44">
        <v>9</v>
      </c>
      <c r="C9" s="3"/>
      <c r="D9" s="33" t="s">
        <v>9</v>
      </c>
      <c r="E9" s="40">
        <f>SUM(E6:E8)</f>
        <v>211</v>
      </c>
      <c r="F9" s="3"/>
      <c r="G9" s="29" t="s">
        <v>40</v>
      </c>
      <c r="H9" s="41" t="str">
        <f>IF(E9&gt;=50,"J","N")</f>
        <v>J</v>
      </c>
      <c r="I9" s="3"/>
      <c r="J9" s="7" t="s">
        <v>15</v>
      </c>
      <c r="K9" s="23">
        <f>B12*350</f>
        <v>350</v>
      </c>
      <c r="L9" s="3"/>
      <c r="M9" s="7" t="s">
        <v>23</v>
      </c>
      <c r="N9" s="24">
        <f>E16*93</f>
        <v>1488</v>
      </c>
    </row>
    <row r="10" spans="1:15" ht="13.9" customHeight="1" thickTop="1" x14ac:dyDescent="0.3">
      <c r="A10" s="20"/>
      <c r="B10" s="22"/>
      <c r="C10" s="3"/>
      <c r="D10" s="33"/>
      <c r="E10" s="34"/>
      <c r="F10" s="3"/>
      <c r="G10" s="29"/>
      <c r="H10" s="30"/>
      <c r="I10" s="3"/>
      <c r="J10" s="7" t="s">
        <v>16</v>
      </c>
      <c r="K10" s="23">
        <f>IF(H9="J",(H7-B14)*40000,(H6-B14)*20000)</f>
        <v>200000</v>
      </c>
      <c r="L10" s="3"/>
      <c r="M10" s="7" t="s">
        <v>28</v>
      </c>
      <c r="N10" s="24">
        <f>B13*46.52</f>
        <v>9304</v>
      </c>
    </row>
    <row r="11" spans="1:15" ht="13.9" customHeight="1" x14ac:dyDescent="0.3">
      <c r="A11" s="20" t="s">
        <v>4</v>
      </c>
      <c r="B11" s="44">
        <v>1</v>
      </c>
      <c r="C11" s="3"/>
      <c r="D11" s="33"/>
      <c r="E11" s="34"/>
      <c r="F11" s="3"/>
      <c r="G11" s="196" t="s">
        <v>45</v>
      </c>
      <c r="H11" s="197"/>
      <c r="I11" s="3"/>
      <c r="J11" s="7" t="s">
        <v>17</v>
      </c>
      <c r="K11" s="23">
        <f>50000</f>
        <v>50000</v>
      </c>
      <c r="L11" s="3"/>
      <c r="M11" s="7"/>
      <c r="N11" s="9"/>
    </row>
    <row r="12" spans="1:15" ht="13.9" customHeight="1" thickBot="1" x14ac:dyDescent="0.35">
      <c r="A12" s="20" t="s">
        <v>5</v>
      </c>
      <c r="B12" s="44">
        <v>1</v>
      </c>
      <c r="C12" s="3"/>
      <c r="D12" s="194" t="s">
        <v>39</v>
      </c>
      <c r="E12" s="195"/>
      <c r="F12" s="3"/>
      <c r="G12" s="196"/>
      <c r="H12" s="197"/>
      <c r="I12" s="3"/>
      <c r="J12" s="7" t="s">
        <v>18</v>
      </c>
      <c r="K12" s="25">
        <f>B6*150</f>
        <v>213000</v>
      </c>
      <c r="L12" s="3"/>
      <c r="M12" s="7"/>
      <c r="N12" s="9"/>
    </row>
    <row r="13" spans="1:15" ht="13.9" customHeight="1" thickBot="1" x14ac:dyDescent="0.35">
      <c r="A13" s="20" t="s">
        <v>29</v>
      </c>
      <c r="B13" s="44">
        <v>200</v>
      </c>
      <c r="C13" s="3"/>
      <c r="D13" s="33"/>
      <c r="E13" s="34"/>
      <c r="F13" s="3"/>
      <c r="G13" s="196"/>
      <c r="H13" s="197"/>
      <c r="I13" s="3"/>
      <c r="J13" s="11" t="s">
        <v>36</v>
      </c>
      <c r="K13" s="26">
        <f>SUM(K6:K12)</f>
        <v>575135</v>
      </c>
      <c r="L13" s="3"/>
      <c r="M13" s="11" t="s">
        <v>35</v>
      </c>
      <c r="N13" s="43">
        <f>SUM(N6:N10)</f>
        <v>32852</v>
      </c>
    </row>
    <row r="14" spans="1:15" ht="13.9" customHeight="1" thickTop="1" x14ac:dyDescent="0.3">
      <c r="A14" s="20" t="s">
        <v>31</v>
      </c>
      <c r="B14" s="44">
        <v>1</v>
      </c>
      <c r="C14" s="3"/>
      <c r="D14" s="33" t="s">
        <v>24</v>
      </c>
      <c r="E14" s="38">
        <f>SUM(B8:B9)+IF(H9="J",H7,H6)-B14+1</f>
        <v>16</v>
      </c>
      <c r="F14" s="3"/>
      <c r="G14" s="196"/>
      <c r="H14" s="197"/>
      <c r="I14" s="3"/>
      <c r="J14" s="7"/>
      <c r="K14" s="9"/>
      <c r="L14" s="3"/>
      <c r="M14" s="11" t="s">
        <v>42</v>
      </c>
      <c r="N14" s="45">
        <f>IF(B17="J",N13,N13/12*B16)</f>
        <v>16426</v>
      </c>
    </row>
    <row r="15" spans="1:15" ht="13.9" customHeight="1" thickBot="1" x14ac:dyDescent="0.35">
      <c r="A15" s="20" t="s">
        <v>27</v>
      </c>
      <c r="B15" s="44" t="s">
        <v>43</v>
      </c>
      <c r="C15" s="3"/>
      <c r="D15" s="33" t="s">
        <v>25</v>
      </c>
      <c r="E15" s="42">
        <f>B11</f>
        <v>1</v>
      </c>
      <c r="F15" s="3"/>
      <c r="G15" s="196"/>
      <c r="H15" s="197"/>
      <c r="I15" s="3"/>
      <c r="J15" s="7"/>
      <c r="K15" s="9"/>
      <c r="L15" s="3"/>
      <c r="M15" s="7"/>
      <c r="N15" s="9"/>
    </row>
    <row r="16" spans="1:15" ht="13.9" customHeight="1" thickBot="1" x14ac:dyDescent="0.35">
      <c r="A16" s="20" t="s">
        <v>30</v>
      </c>
      <c r="B16" s="44">
        <v>6</v>
      </c>
      <c r="C16" s="3"/>
      <c r="D16" s="33" t="s">
        <v>26</v>
      </c>
      <c r="E16" s="40">
        <f>E14+IF(B15="J",E15,0)</f>
        <v>16</v>
      </c>
      <c r="F16" s="3"/>
      <c r="G16" s="196"/>
      <c r="H16" s="197"/>
      <c r="I16" s="3"/>
      <c r="J16" s="7"/>
      <c r="K16" s="9"/>
      <c r="L16" s="3"/>
      <c r="M16" s="7"/>
      <c r="N16" s="9"/>
    </row>
    <row r="17" spans="1:14" ht="13.9" customHeight="1" thickTop="1" x14ac:dyDescent="0.3">
      <c r="A17" s="20" t="s">
        <v>37</v>
      </c>
      <c r="B17" s="44" t="s">
        <v>43</v>
      </c>
      <c r="C17" s="3"/>
      <c r="D17" s="33"/>
      <c r="E17" s="34"/>
      <c r="F17" s="3"/>
      <c r="G17" s="196"/>
      <c r="H17" s="197"/>
      <c r="I17" s="3"/>
      <c r="J17" s="7"/>
      <c r="K17" s="9"/>
      <c r="L17" s="3"/>
      <c r="M17" s="7"/>
      <c r="N17" s="9"/>
    </row>
    <row r="18" spans="1:14" ht="13.9" customHeight="1" thickBot="1" x14ac:dyDescent="0.35">
      <c r="A18" s="21" t="s">
        <v>32</v>
      </c>
      <c r="B18" s="50">
        <v>120000</v>
      </c>
      <c r="C18" s="51"/>
      <c r="D18" s="32"/>
      <c r="E18" s="36"/>
      <c r="F18" s="3"/>
      <c r="G18" s="198"/>
      <c r="H18" s="199"/>
      <c r="I18" s="3"/>
      <c r="J18" s="8"/>
      <c r="K18" s="10"/>
      <c r="L18" s="51"/>
      <c r="M18" s="8"/>
      <c r="N18" s="10"/>
    </row>
    <row r="19" spans="1:14" ht="13.9" customHeight="1" thickBot="1" x14ac:dyDescent="0.35"/>
    <row r="20" spans="1:14" ht="15.5" x14ac:dyDescent="0.35">
      <c r="A20" s="12"/>
      <c r="B20" s="13"/>
      <c r="C20" s="13"/>
      <c r="D20" s="200" t="s">
        <v>33</v>
      </c>
      <c r="E20" s="200"/>
      <c r="F20" s="201">
        <f>IF(B17="J",0,K13)+IF(B17="J",N13,N14)</f>
        <v>591561</v>
      </c>
      <c r="G20" s="201"/>
      <c r="H20" s="201"/>
      <c r="I20" s="13"/>
      <c r="J20" s="13"/>
      <c r="K20" s="13"/>
      <c r="L20" s="13"/>
      <c r="M20" s="13"/>
      <c r="N20" s="14"/>
    </row>
    <row r="21" spans="1:14" ht="16" thickBot="1" x14ac:dyDescent="0.4">
      <c r="A21" s="15"/>
      <c r="B21" s="193" t="s">
        <v>34</v>
      </c>
      <c r="C21" s="193"/>
      <c r="D21" s="193"/>
      <c r="E21" s="193"/>
      <c r="F21" s="202">
        <f>F20/B18</f>
        <v>4.9296749999999996</v>
      </c>
      <c r="G21" s="203"/>
      <c r="H21" s="203"/>
      <c r="I21" s="16"/>
      <c r="J21" s="16"/>
      <c r="K21" s="16"/>
      <c r="L21" s="16"/>
      <c r="M21" s="16"/>
      <c r="N21" s="17"/>
    </row>
  </sheetData>
  <mergeCells count="13">
    <mergeCell ref="A1:N1"/>
    <mergeCell ref="A2:N2"/>
    <mergeCell ref="B21:E21"/>
    <mergeCell ref="D12:E12"/>
    <mergeCell ref="G11:H18"/>
    <mergeCell ref="D20:E20"/>
    <mergeCell ref="F20:H20"/>
    <mergeCell ref="F21:H21"/>
    <mergeCell ref="D4:E4"/>
    <mergeCell ref="G4:H4"/>
    <mergeCell ref="J4:K4"/>
    <mergeCell ref="M4:N4"/>
    <mergeCell ref="A4:B4"/>
  </mergeCells>
  <conditionalFormatting sqref="A16:B16">
    <cfRule type="expression" dxfId="98" priority="1">
      <formula>$B$17="J"</formula>
    </cfRule>
  </conditionalFormatting>
  <conditionalFormatting sqref="B6:B7">
    <cfRule type="expression" dxfId="97" priority="31">
      <formula>OR(NOT(ISNUMBER(B6)),B6&lt;=0)</formula>
    </cfRule>
  </conditionalFormatting>
  <conditionalFormatting sqref="B8:B9">
    <cfRule type="expression" dxfId="96" priority="29">
      <formula>NOT(ISNUMBER(B8))</formula>
    </cfRule>
  </conditionalFormatting>
  <conditionalFormatting sqref="B11">
    <cfRule type="expression" dxfId="95" priority="11">
      <formula>OR(NOT(ISNUMBER(B11)),B11&lt;=0)</formula>
    </cfRule>
  </conditionalFormatting>
  <conditionalFormatting sqref="B12:B13">
    <cfRule type="expression" dxfId="94" priority="19">
      <formula>NOT(ISNUMBER(B12))</formula>
    </cfRule>
  </conditionalFormatting>
  <conditionalFormatting sqref="B14">
    <cfRule type="expression" dxfId="93" priority="10">
      <formula>OR(NOT(ISNUMBER(B14)),B14&lt;=0)</formula>
    </cfRule>
  </conditionalFormatting>
  <conditionalFormatting sqref="B15">
    <cfRule type="expression" dxfId="92" priority="4">
      <formula>AND(B15&lt;&gt;"J",B15&lt;&gt;"N")</formula>
    </cfRule>
  </conditionalFormatting>
  <conditionalFormatting sqref="B17">
    <cfRule type="expression" dxfId="91" priority="15">
      <formula>AND(B17&lt;&gt;"J",B17&lt;&gt;"N")</formula>
    </cfRule>
  </conditionalFormatting>
  <conditionalFormatting sqref="B18">
    <cfRule type="expression" dxfId="90" priority="5">
      <formula>OR(NOT(ISNUMBER(B18)),B18&lt;=0)</formula>
    </cfRule>
  </conditionalFormatting>
  <conditionalFormatting sqref="K6:K13">
    <cfRule type="expression" dxfId="89" priority="2">
      <formula>$B$17="J"</formula>
    </cfRule>
  </conditionalFormatting>
  <dataValidations count="4">
    <dataValidation type="list" allowBlank="1" showInputMessage="1" showErrorMessage="1" sqref="B17" xr:uid="{00000000-0002-0000-0000-000000000000}">
      <formula1>"J,N"</formula1>
    </dataValidation>
    <dataValidation type="list" allowBlank="1" showInputMessage="1" showErrorMessage="1" sqref="B15" xr:uid="{00000000-0002-0000-0000-000001000000}">
      <formula1>"N,J"</formula1>
    </dataValidation>
    <dataValidation type="whole" allowBlank="1" showInputMessage="1" showErrorMessage="1" sqref="B16" xr:uid="{00000000-0002-0000-0000-000002000000}">
      <formula1>1</formula1>
      <formula2>12</formula2>
    </dataValidation>
    <dataValidation type="whole" allowBlank="1" showInputMessage="1" showErrorMessage="1" sqref="B14" xr:uid="{00000000-0002-0000-0000-000003000000}">
      <formula1>1</formula1>
      <formula2>99</formula2>
    </dataValidation>
  </dataValidations>
  <pageMargins left="0.7" right="0.7" top="0.78740157499999996" bottom="0.78740157499999996" header="0.3" footer="0.3"/>
  <pageSetup paperSize="9" scale="86"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7E205-9564-4F10-AEEE-46B955914E90}">
  <dimension ref="A1:N23"/>
  <sheetViews>
    <sheetView workbookViewId="0">
      <selection sqref="A1:N21"/>
    </sheetView>
  </sheetViews>
  <sheetFormatPr baseColWidth="10" defaultRowHeight="14" x14ac:dyDescent="0.3"/>
  <cols>
    <col min="1" max="1" width="18.83203125" customWidth="1"/>
    <col min="2" max="2" width="12.33203125" customWidth="1"/>
    <col min="3" max="3" width="0.75" customWidth="1"/>
    <col min="5" max="5" width="11" customWidth="1"/>
    <col min="6" max="6" width="0.5" customWidth="1"/>
    <col min="8" max="8" width="11" customWidth="1"/>
    <col min="9" max="9" width="0.83203125" customWidth="1"/>
    <col min="10" max="10" width="19.08203125" customWidth="1"/>
    <col min="11" max="11" width="16.5" customWidth="1"/>
    <col min="12" max="12" width="0.5" customWidth="1"/>
    <col min="13" max="13" width="22.5" customWidth="1"/>
    <col min="14" max="14" width="17.5" customWidth="1"/>
  </cols>
  <sheetData>
    <row r="1" spans="1:14" ht="17.5" x14ac:dyDescent="0.35">
      <c r="A1" s="191" t="s">
        <v>64</v>
      </c>
      <c r="B1" s="191"/>
      <c r="C1" s="191"/>
      <c r="D1" s="191"/>
      <c r="E1" s="191"/>
      <c r="F1" s="191"/>
      <c r="G1" s="191"/>
      <c r="H1" s="191"/>
      <c r="I1" s="191"/>
      <c r="J1" s="191"/>
      <c r="K1" s="191"/>
      <c r="L1" s="191"/>
      <c r="M1" s="191"/>
      <c r="N1" s="191"/>
    </row>
    <row r="2" spans="1:14" x14ac:dyDescent="0.3">
      <c r="A2" s="192" t="s">
        <v>65</v>
      </c>
      <c r="B2" s="192"/>
      <c r="C2" s="192"/>
      <c r="D2" s="192"/>
      <c r="E2" s="192"/>
      <c r="F2" s="192"/>
      <c r="G2" s="192"/>
      <c r="H2" s="192"/>
      <c r="I2" s="192"/>
      <c r="J2" s="192"/>
      <c r="K2" s="192"/>
      <c r="L2" s="192"/>
      <c r="M2" s="192"/>
      <c r="N2" s="192"/>
    </row>
    <row r="3" spans="1:14" ht="14.5" thickBot="1" x14ac:dyDescent="0.35"/>
    <row r="4" spans="1:14" x14ac:dyDescent="0.3">
      <c r="A4" s="210" t="s">
        <v>46</v>
      </c>
      <c r="B4" s="211"/>
      <c r="D4" s="204" t="s">
        <v>44</v>
      </c>
      <c r="E4" s="205"/>
      <c r="F4" s="2"/>
      <c r="G4" s="206" t="s">
        <v>38</v>
      </c>
      <c r="H4" s="207"/>
      <c r="I4" s="4"/>
      <c r="J4" s="208" t="s">
        <v>41</v>
      </c>
      <c r="K4" s="209"/>
      <c r="L4" s="2"/>
      <c r="M4" s="208" t="s">
        <v>19</v>
      </c>
      <c r="N4" s="209"/>
    </row>
    <row r="5" spans="1:14" x14ac:dyDescent="0.3">
      <c r="A5" s="19"/>
      <c r="B5" s="22"/>
      <c r="D5" s="18"/>
      <c r="E5" s="31"/>
      <c r="G5" s="27"/>
      <c r="H5" s="28"/>
      <c r="J5" s="5"/>
      <c r="K5" s="6"/>
      <c r="M5" s="5"/>
      <c r="N5" s="6"/>
    </row>
    <row r="6" spans="1:14" x14ac:dyDescent="0.3">
      <c r="A6" s="20" t="s">
        <v>0</v>
      </c>
      <c r="B6" s="44">
        <v>1420</v>
      </c>
      <c r="C6" s="3"/>
      <c r="D6" s="33" t="s">
        <v>6</v>
      </c>
      <c r="E6" s="38">
        <f>ROUNDUP(B6/25,0)</f>
        <v>57</v>
      </c>
      <c r="F6" s="3"/>
      <c r="G6" s="29" t="s">
        <v>10</v>
      </c>
      <c r="H6" s="35">
        <f>MAX(B14,ROUNDUP(E9/25,0))+B14</f>
        <v>13</v>
      </c>
      <c r="I6" s="3"/>
      <c r="J6" s="7" t="s">
        <v>12</v>
      </c>
      <c r="K6" s="24">
        <f>IF(H9="J",H7*2788,H6*1394)</f>
        <v>19516</v>
      </c>
      <c r="L6" s="3"/>
      <c r="M6" s="7" t="s">
        <v>20</v>
      </c>
      <c r="N6" s="24">
        <f>K6*0.2</f>
        <v>3903.2000000000003</v>
      </c>
    </row>
    <row r="7" spans="1:14" x14ac:dyDescent="0.3">
      <c r="A7" s="20" t="s">
        <v>1</v>
      </c>
      <c r="B7" s="44">
        <v>426</v>
      </c>
      <c r="C7" s="3"/>
      <c r="D7" s="33" t="s">
        <v>7</v>
      </c>
      <c r="E7" s="37">
        <f>B9+(B8)*3</f>
        <v>12</v>
      </c>
      <c r="F7" s="3"/>
      <c r="G7" s="29" t="s">
        <v>11</v>
      </c>
      <c r="H7" s="35">
        <f>MAX(ROUNDUP(E9/50,0),B14)+B14</f>
        <v>7</v>
      </c>
      <c r="I7" s="3"/>
      <c r="J7" s="7" t="s">
        <v>47</v>
      </c>
      <c r="K7" s="24">
        <f>H6*400</f>
        <v>5200</v>
      </c>
      <c r="L7" s="3"/>
      <c r="M7" s="7" t="s">
        <v>21</v>
      </c>
      <c r="N7" s="24">
        <f>(IF(H9="J",H7,H6)-B14)*792</f>
        <v>4752</v>
      </c>
    </row>
    <row r="8" spans="1:14" ht="14.5" thickBot="1" x14ac:dyDescent="0.35">
      <c r="A8" s="20" t="s">
        <v>2</v>
      </c>
      <c r="B8" s="44">
        <v>1</v>
      </c>
      <c r="C8" s="3"/>
      <c r="D8" s="33" t="s">
        <v>8</v>
      </c>
      <c r="E8" s="39">
        <f>ROUNDUP(B7/2,0)</f>
        <v>213</v>
      </c>
      <c r="F8" s="3"/>
      <c r="G8" s="29"/>
      <c r="H8" s="30"/>
      <c r="I8" s="3"/>
      <c r="J8" s="7" t="s">
        <v>13</v>
      </c>
      <c r="K8" s="24">
        <f>IF(AND($H$9="J",($H$7-$B$14)&gt;1),2000,0)</f>
        <v>2000</v>
      </c>
      <c r="L8" s="3"/>
      <c r="M8" s="7" t="s">
        <v>22</v>
      </c>
      <c r="N8" s="24">
        <f>MIN((ROUNDUP(E9/25,0)-1)*1800+100,54100)</f>
        <v>19900</v>
      </c>
    </row>
    <row r="9" spans="1:14" ht="14.5" thickBot="1" x14ac:dyDescent="0.35">
      <c r="A9" s="20" t="s">
        <v>3</v>
      </c>
      <c r="B9" s="44">
        <v>9</v>
      </c>
      <c r="C9" s="3"/>
      <c r="D9" s="33" t="s">
        <v>9</v>
      </c>
      <c r="E9" s="40">
        <f>SUM(E6:E8)</f>
        <v>282</v>
      </c>
      <c r="F9" s="3"/>
      <c r="G9" s="29" t="s">
        <v>40</v>
      </c>
      <c r="H9" s="41" t="str">
        <f>IF(E9&gt;=50,"J","N")</f>
        <v>J</v>
      </c>
      <c r="I9" s="3"/>
      <c r="J9" s="7" t="s">
        <v>48</v>
      </c>
      <c r="K9" s="24">
        <f>H6*120</f>
        <v>1560</v>
      </c>
      <c r="L9" s="3"/>
      <c r="M9" s="7" t="s">
        <v>23</v>
      </c>
      <c r="N9" s="24">
        <f>E17*93</f>
        <v>1581</v>
      </c>
    </row>
    <row r="10" spans="1:14" ht="14.5" thickTop="1" x14ac:dyDescent="0.3">
      <c r="A10" s="20"/>
      <c r="B10" s="22"/>
      <c r="C10" s="3"/>
      <c r="D10" s="33"/>
      <c r="E10" s="34"/>
      <c r="F10" s="3"/>
      <c r="G10" s="27"/>
      <c r="H10" s="28"/>
      <c r="I10" s="3">
        <v>0</v>
      </c>
      <c r="J10" s="7" t="s">
        <v>14</v>
      </c>
      <c r="K10" s="23">
        <f>E9*595</f>
        <v>167790</v>
      </c>
      <c r="L10" s="3"/>
      <c r="M10" s="7" t="s">
        <v>51</v>
      </c>
      <c r="N10" s="24">
        <f>6000+B6*10</f>
        <v>20200</v>
      </c>
    </row>
    <row r="11" spans="1:14" x14ac:dyDescent="0.3">
      <c r="A11" s="20" t="s">
        <v>4</v>
      </c>
      <c r="B11" s="44">
        <v>1</v>
      </c>
      <c r="C11" s="3"/>
      <c r="D11" s="33"/>
      <c r="E11" s="34"/>
      <c r="F11" s="3"/>
      <c r="G11" s="29"/>
      <c r="H11" s="28"/>
      <c r="I11" s="3"/>
      <c r="J11" s="7" t="s">
        <v>15</v>
      </c>
      <c r="K11" s="23">
        <f>$B$12*350</f>
        <v>350</v>
      </c>
      <c r="L11" s="3"/>
      <c r="M11" s="7" t="s">
        <v>28</v>
      </c>
      <c r="N11" s="24">
        <f>B13*46.5</f>
        <v>9300</v>
      </c>
    </row>
    <row r="12" spans="1:14" x14ac:dyDescent="0.3">
      <c r="A12" s="20" t="s">
        <v>5</v>
      </c>
      <c r="B12" s="44">
        <v>1</v>
      </c>
      <c r="C12" s="3"/>
      <c r="D12" s="33"/>
      <c r="E12" s="34"/>
      <c r="F12" s="3"/>
      <c r="G12" s="47"/>
      <c r="H12" s="48"/>
      <c r="I12" s="3"/>
      <c r="J12" s="7" t="s">
        <v>16</v>
      </c>
      <c r="K12" s="23">
        <f>IF($H$9="J",($H$7-$B$14)*40000,($H$6-$B$14)*20000)</f>
        <v>240000</v>
      </c>
      <c r="L12" s="3"/>
      <c r="M12" s="7"/>
      <c r="N12" s="9"/>
    </row>
    <row r="13" spans="1:14" x14ac:dyDescent="0.3">
      <c r="A13" s="20" t="s">
        <v>29</v>
      </c>
      <c r="B13" s="44">
        <v>200</v>
      </c>
      <c r="C13" s="3"/>
      <c r="D13" s="194" t="s">
        <v>39</v>
      </c>
      <c r="E13" s="219"/>
      <c r="F13" s="3"/>
      <c r="G13" s="196" t="s">
        <v>53</v>
      </c>
      <c r="H13" s="220"/>
      <c r="I13" s="3"/>
      <c r="J13" s="7" t="s">
        <v>17</v>
      </c>
      <c r="K13" s="23">
        <f>95000</f>
        <v>95000</v>
      </c>
      <c r="L13" s="3"/>
      <c r="M13" s="7"/>
      <c r="N13" s="9"/>
    </row>
    <row r="14" spans="1:14" ht="14.5" thickBot="1" x14ac:dyDescent="0.35">
      <c r="A14" s="20" t="s">
        <v>31</v>
      </c>
      <c r="B14" s="44">
        <v>1</v>
      </c>
      <c r="C14" s="3"/>
      <c r="D14" s="33"/>
      <c r="E14" s="34"/>
      <c r="F14" s="3"/>
      <c r="G14" s="221"/>
      <c r="H14" s="220"/>
      <c r="I14" s="3"/>
      <c r="J14" s="7" t="s">
        <v>49</v>
      </c>
      <c r="K14" s="23">
        <f>$B$6*50</f>
        <v>71000</v>
      </c>
      <c r="L14" s="3"/>
      <c r="M14" s="7"/>
      <c r="N14" s="9"/>
    </row>
    <row r="15" spans="1:14" ht="15" thickTop="1" thickBot="1" x14ac:dyDescent="0.35">
      <c r="A15" s="20" t="s">
        <v>27</v>
      </c>
      <c r="B15" s="44" t="s">
        <v>43</v>
      </c>
      <c r="C15" s="3"/>
      <c r="D15" s="33" t="s">
        <v>24</v>
      </c>
      <c r="E15" s="38">
        <f>SUM(B8:B9)+IF(H9="J",H7,H6)-B14+1</f>
        <v>17</v>
      </c>
      <c r="F15" s="3"/>
      <c r="G15" s="221"/>
      <c r="H15" s="220"/>
      <c r="I15" s="3"/>
      <c r="J15" s="7" t="s">
        <v>18</v>
      </c>
      <c r="K15" s="25">
        <f>$B$6*200</f>
        <v>284000</v>
      </c>
      <c r="L15" s="3"/>
      <c r="M15" s="11" t="s">
        <v>58</v>
      </c>
      <c r="N15" s="45">
        <f>SUM(N6:N11)</f>
        <v>59636.2</v>
      </c>
    </row>
    <row r="16" spans="1:14" ht="15" thickTop="1" thickBot="1" x14ac:dyDescent="0.35">
      <c r="A16" s="20" t="s">
        <v>30</v>
      </c>
      <c r="B16" s="44">
        <v>8</v>
      </c>
      <c r="C16" s="3"/>
      <c r="D16" s="33" t="s">
        <v>25</v>
      </c>
      <c r="E16" s="42">
        <f>B11</f>
        <v>1</v>
      </c>
      <c r="F16" s="3"/>
      <c r="G16" s="221"/>
      <c r="H16" s="220"/>
      <c r="I16" s="3"/>
      <c r="J16" s="11" t="s">
        <v>36</v>
      </c>
      <c r="K16" s="26">
        <f>SUM(K6:K15)</f>
        <v>886416</v>
      </c>
      <c r="L16" s="3"/>
      <c r="M16" s="11" t="s">
        <v>55</v>
      </c>
      <c r="N16" s="45">
        <f>IF(B17="N",N15/12*B16,N15)</f>
        <v>59636.2</v>
      </c>
    </row>
    <row r="17" spans="1:14" ht="15" thickTop="1" thickBot="1" x14ac:dyDescent="0.35">
      <c r="A17" s="20" t="s">
        <v>37</v>
      </c>
      <c r="B17" s="44" t="s">
        <v>60</v>
      </c>
      <c r="C17" s="3"/>
      <c r="D17" s="33" t="s">
        <v>26</v>
      </c>
      <c r="E17" s="40">
        <f>E15+IF(B15="J",E16,0)</f>
        <v>17</v>
      </c>
      <c r="F17" s="3"/>
      <c r="G17" s="221"/>
      <c r="H17" s="220"/>
      <c r="I17" s="3"/>
      <c r="J17" s="11"/>
      <c r="K17" s="46"/>
      <c r="L17" s="3"/>
      <c r="M17" s="11"/>
      <c r="N17" s="9"/>
    </row>
    <row r="18" spans="1:14" ht="15" thickTop="1" thickBot="1" x14ac:dyDescent="0.35">
      <c r="A18" s="21" t="s">
        <v>32</v>
      </c>
      <c r="B18" s="50">
        <v>120000</v>
      </c>
      <c r="C18" s="51"/>
      <c r="D18" s="32"/>
      <c r="E18" s="36"/>
      <c r="F18" s="3"/>
      <c r="G18" s="222"/>
      <c r="H18" s="223"/>
      <c r="I18" s="3"/>
      <c r="J18" s="49"/>
      <c r="K18" s="52"/>
      <c r="L18" s="51"/>
      <c r="M18" s="49"/>
      <c r="N18" s="10"/>
    </row>
    <row r="19" spans="1:14" ht="14.5" thickBot="1" x14ac:dyDescent="0.35"/>
    <row r="20" spans="1:14" ht="15.5" x14ac:dyDescent="0.35">
      <c r="A20" s="12"/>
      <c r="B20" s="13"/>
      <c r="C20" s="13"/>
      <c r="D20" s="200" t="s">
        <v>33</v>
      </c>
      <c r="E20" s="200"/>
      <c r="F20" s="201">
        <f>IF(B17="J",0,K16)+IF(B17="J",N15,N16)</f>
        <v>59636.2</v>
      </c>
      <c r="G20" s="201"/>
      <c r="H20" s="201"/>
      <c r="I20" s="13"/>
      <c r="J20" s="214"/>
      <c r="K20" s="215"/>
      <c r="L20" s="215"/>
      <c r="M20" s="215"/>
      <c r="N20" s="216"/>
    </row>
    <row r="21" spans="1:14" ht="16" thickBot="1" x14ac:dyDescent="0.4">
      <c r="A21" s="15"/>
      <c r="B21" s="193" t="s">
        <v>34</v>
      </c>
      <c r="C21" s="193"/>
      <c r="D21" s="193"/>
      <c r="E21" s="193"/>
      <c r="F21" s="202">
        <f>F20/B18</f>
        <v>0.49696833333333329</v>
      </c>
      <c r="G21" s="203"/>
      <c r="H21" s="203"/>
      <c r="I21" s="16"/>
      <c r="J21" s="217"/>
      <c r="K21" s="217"/>
      <c r="L21" s="217"/>
      <c r="M21" s="217"/>
      <c r="N21" s="218"/>
    </row>
    <row r="23" spans="1:14" x14ac:dyDescent="0.3">
      <c r="I23" s="212"/>
      <c r="J23" s="212"/>
      <c r="K23" s="212"/>
      <c r="M23" s="213"/>
      <c r="N23" s="213"/>
    </row>
  </sheetData>
  <mergeCells count="16">
    <mergeCell ref="I23:K23"/>
    <mergeCell ref="M23:N23"/>
    <mergeCell ref="J20:N21"/>
    <mergeCell ref="M4:N4"/>
    <mergeCell ref="D13:E13"/>
    <mergeCell ref="G13:H18"/>
    <mergeCell ref="D20:E20"/>
    <mergeCell ref="F20:H20"/>
    <mergeCell ref="B21:E21"/>
    <mergeCell ref="F21:H21"/>
    <mergeCell ref="A1:N1"/>
    <mergeCell ref="A2:N2"/>
    <mergeCell ref="A4:B4"/>
    <mergeCell ref="D4:E4"/>
    <mergeCell ref="G4:H4"/>
    <mergeCell ref="J4:K4"/>
  </mergeCells>
  <conditionalFormatting sqref="A16:B16">
    <cfRule type="expression" dxfId="88" priority="2">
      <formula>$B$17="J"</formula>
    </cfRule>
  </conditionalFormatting>
  <conditionalFormatting sqref="B6:B9">
    <cfRule type="expression" dxfId="87" priority="17">
      <formula>OR(NOT(ISNUMBER(B6)),B6&lt;=0)</formula>
    </cfRule>
  </conditionalFormatting>
  <conditionalFormatting sqref="B11">
    <cfRule type="expression" dxfId="86" priority="9">
      <formula>OR(NOT(ISNUMBER(B11)),B11&lt;=0)</formula>
    </cfRule>
  </conditionalFormatting>
  <conditionalFormatting sqref="B12:B13">
    <cfRule type="expression" dxfId="85" priority="10">
      <formula>NOT(ISNUMBER(B12))</formula>
    </cfRule>
  </conditionalFormatting>
  <conditionalFormatting sqref="B14">
    <cfRule type="expression" dxfId="84" priority="12">
      <formula>OR(NOT(ISNUMBER(B14)),B14&lt;=0)</formula>
    </cfRule>
  </conditionalFormatting>
  <conditionalFormatting sqref="B15">
    <cfRule type="expression" dxfId="83" priority="13">
      <formula>AND(B15&lt;&gt;"J",B15&lt;&gt;"N")</formula>
    </cfRule>
  </conditionalFormatting>
  <conditionalFormatting sqref="B17">
    <cfRule type="expression" dxfId="82" priority="6">
      <formula>AND(B17&lt;&gt;"J",B17&lt;&gt;"N")</formula>
    </cfRule>
  </conditionalFormatting>
  <conditionalFormatting sqref="B18">
    <cfRule type="expression" dxfId="81" priority="14">
      <formula>OR(NOT(ISNUMBER(B18)),B18&lt;=0)</formula>
    </cfRule>
  </conditionalFormatting>
  <conditionalFormatting sqref="J20:N21">
    <cfRule type="expression" dxfId="80" priority="1">
      <formula>$B$17="J"</formula>
    </cfRule>
  </conditionalFormatting>
  <conditionalFormatting sqref="K6:K16">
    <cfRule type="expression" dxfId="79" priority="3">
      <formula>$B$17="J"</formula>
    </cfRule>
  </conditionalFormatting>
  <dataValidations count="2">
    <dataValidation type="whole" allowBlank="1" showInputMessage="1" showErrorMessage="1" sqref="B16" xr:uid="{CA03B7FF-8316-4C68-B9B5-D1C37A7682F7}">
      <formula1>1</formula1>
      <formula2>12</formula2>
    </dataValidation>
    <dataValidation type="list" allowBlank="1" showInputMessage="1" showErrorMessage="1" sqref="B17" xr:uid="{082A512A-99FB-4845-A24F-23963491CED9}">
      <formula1>"J,N"</formula1>
    </dataValidation>
  </dataValidations>
  <pageMargins left="0.7" right="0.7" top="0.78740157499999996" bottom="0.78740157499999996" header="0.3" footer="0.3"/>
  <pageSetup paperSize="9"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01BC5-059E-425E-B309-087552018277}">
  <dimension ref="A1:N21"/>
  <sheetViews>
    <sheetView workbookViewId="0">
      <selection activeCell="E36" sqref="E36"/>
    </sheetView>
  </sheetViews>
  <sheetFormatPr baseColWidth="10" defaultRowHeight="14" x14ac:dyDescent="0.3"/>
  <cols>
    <col min="11" max="11" width="15.83203125" customWidth="1"/>
    <col min="14" max="14" width="18.58203125" customWidth="1"/>
  </cols>
  <sheetData>
    <row r="1" spans="1:14" ht="17.5" x14ac:dyDescent="0.35">
      <c r="A1" s="191" t="s">
        <v>64</v>
      </c>
      <c r="B1" s="191"/>
      <c r="C1" s="191"/>
      <c r="D1" s="191"/>
      <c r="E1" s="191"/>
      <c r="F1" s="191"/>
      <c r="G1" s="191"/>
      <c r="H1" s="191"/>
      <c r="I1" s="191"/>
      <c r="J1" s="191"/>
      <c r="K1" s="191"/>
      <c r="L1" s="191"/>
      <c r="M1" s="191"/>
      <c r="N1" s="191"/>
    </row>
    <row r="2" spans="1:14" x14ac:dyDescent="0.3">
      <c r="A2" s="192" t="s">
        <v>73</v>
      </c>
      <c r="B2" s="192"/>
      <c r="C2" s="192"/>
      <c r="D2" s="192"/>
      <c r="E2" s="192"/>
      <c r="F2" s="192"/>
      <c r="G2" s="192"/>
      <c r="H2" s="192"/>
      <c r="I2" s="192"/>
      <c r="J2" s="192"/>
      <c r="K2" s="192"/>
      <c r="L2" s="192"/>
      <c r="M2" s="192"/>
      <c r="N2" s="192"/>
    </row>
    <row r="3" spans="1:14" ht="14.5" thickBot="1" x14ac:dyDescent="0.35"/>
    <row r="4" spans="1:14" x14ac:dyDescent="0.3">
      <c r="A4" s="210" t="s">
        <v>46</v>
      </c>
      <c r="B4" s="211"/>
      <c r="D4" s="204" t="s">
        <v>44</v>
      </c>
      <c r="E4" s="205"/>
      <c r="F4" s="2"/>
      <c r="G4" s="206" t="s">
        <v>38</v>
      </c>
      <c r="H4" s="207"/>
      <c r="I4" s="4"/>
      <c r="J4" s="208" t="s">
        <v>41</v>
      </c>
      <c r="K4" s="209"/>
      <c r="L4" s="2"/>
      <c r="M4" s="208" t="s">
        <v>19</v>
      </c>
      <c r="N4" s="209"/>
    </row>
    <row r="5" spans="1:14" x14ac:dyDescent="0.3">
      <c r="A5" s="19"/>
      <c r="B5" s="22"/>
      <c r="D5" s="18"/>
      <c r="E5" s="31"/>
      <c r="G5" s="27"/>
      <c r="H5" s="28"/>
      <c r="J5" s="5"/>
      <c r="K5" s="6"/>
      <c r="M5" s="5"/>
      <c r="N5" s="6"/>
    </row>
    <row r="6" spans="1:14" x14ac:dyDescent="0.3">
      <c r="A6" s="20" t="s">
        <v>0</v>
      </c>
      <c r="B6" s="44">
        <v>1420</v>
      </c>
      <c r="C6" s="3"/>
      <c r="D6" s="33" t="s">
        <v>6</v>
      </c>
      <c r="E6" s="38">
        <f>ROUNDUP(B6/25,0)</f>
        <v>57</v>
      </c>
      <c r="F6" s="3"/>
      <c r="G6" s="29" t="s">
        <v>10</v>
      </c>
      <c r="H6" s="35">
        <f>MAX(B14,ROUNDUP(E9/25,0))+B14</f>
        <v>13</v>
      </c>
      <c r="I6" s="3"/>
      <c r="J6" s="7" t="s">
        <v>12</v>
      </c>
      <c r="K6" s="24">
        <f>IF(H9="J",H7*3088,H6*1544)</f>
        <v>21616</v>
      </c>
      <c r="L6" s="3"/>
      <c r="M6" s="7" t="s">
        <v>20</v>
      </c>
      <c r="N6" s="24">
        <f>K6*0.2</f>
        <v>4323.2</v>
      </c>
    </row>
    <row r="7" spans="1:14" x14ac:dyDescent="0.3">
      <c r="A7" s="20" t="s">
        <v>1</v>
      </c>
      <c r="B7" s="44">
        <v>426</v>
      </c>
      <c r="C7" s="3"/>
      <c r="D7" s="33" t="s">
        <v>7</v>
      </c>
      <c r="E7" s="37">
        <f>B9+(B8)*3</f>
        <v>12</v>
      </c>
      <c r="F7" s="3"/>
      <c r="G7" s="29" t="s">
        <v>11</v>
      </c>
      <c r="H7" s="35">
        <f>MAX(ROUNDUP(E9/50,0),B14)+B14</f>
        <v>7</v>
      </c>
      <c r="I7" s="3"/>
      <c r="J7" s="7" t="s">
        <v>47</v>
      </c>
      <c r="K7" s="24">
        <f>H6*400</f>
        <v>5200</v>
      </c>
      <c r="L7" s="3"/>
      <c r="M7" s="7" t="s">
        <v>21</v>
      </c>
      <c r="N7" s="24">
        <f>(IF(H9="J",H7,H6)-B14)*792</f>
        <v>4752</v>
      </c>
    </row>
    <row r="8" spans="1:14" ht="14.5" thickBot="1" x14ac:dyDescent="0.35">
      <c r="A8" s="20" t="s">
        <v>2</v>
      </c>
      <c r="B8" s="44">
        <v>1</v>
      </c>
      <c r="C8" s="3"/>
      <c r="D8" s="33" t="s">
        <v>8</v>
      </c>
      <c r="E8" s="39">
        <f>ROUNDUP(B7/2,0)</f>
        <v>213</v>
      </c>
      <c r="F8" s="3"/>
      <c r="G8" s="29"/>
      <c r="H8" s="30"/>
      <c r="I8" s="3"/>
      <c r="J8" s="7" t="s">
        <v>13</v>
      </c>
      <c r="K8" s="24">
        <f>IF(AND($H$9="J",($H$7-$B$14)&gt;1),2000,0)</f>
        <v>2000</v>
      </c>
      <c r="L8" s="3"/>
      <c r="M8" s="7" t="s">
        <v>22</v>
      </c>
      <c r="N8" s="24">
        <f>MIN((ROUNDUP(E9/25,0)-1)*1800+100,54100)</f>
        <v>19900</v>
      </c>
    </row>
    <row r="9" spans="1:14" ht="14.5" thickBot="1" x14ac:dyDescent="0.35">
      <c r="A9" s="20" t="s">
        <v>3</v>
      </c>
      <c r="B9" s="44">
        <v>9</v>
      </c>
      <c r="C9" s="3"/>
      <c r="D9" s="33" t="s">
        <v>9</v>
      </c>
      <c r="E9" s="40">
        <f>SUM(E6:E8)</f>
        <v>282</v>
      </c>
      <c r="F9" s="3"/>
      <c r="G9" s="29" t="s">
        <v>40</v>
      </c>
      <c r="H9" s="41" t="str">
        <f>IF(E9&gt;=50,"J","N")</f>
        <v>J</v>
      </c>
      <c r="I9" s="3"/>
      <c r="J9" s="7" t="s">
        <v>48</v>
      </c>
      <c r="K9" s="24">
        <f>H6*120</f>
        <v>1560</v>
      </c>
      <c r="L9" s="3"/>
      <c r="M9" s="7" t="s">
        <v>23</v>
      </c>
      <c r="N9" s="24">
        <f>E17*93</f>
        <v>1581</v>
      </c>
    </row>
    <row r="10" spans="1:14" ht="14.5" thickTop="1" x14ac:dyDescent="0.3">
      <c r="A10" s="20"/>
      <c r="B10" s="22"/>
      <c r="C10" s="3"/>
      <c r="D10" s="33"/>
      <c r="E10" s="34"/>
      <c r="F10" s="3"/>
      <c r="G10" s="27"/>
      <c r="H10" s="28"/>
      <c r="I10" s="3">
        <v>0</v>
      </c>
      <c r="J10" s="7" t="s">
        <v>14</v>
      </c>
      <c r="K10" s="23">
        <f>E9*595</f>
        <v>167790</v>
      </c>
      <c r="L10" s="3"/>
      <c r="M10" s="7" t="s">
        <v>51</v>
      </c>
      <c r="N10" s="24">
        <f>6000+B6*10</f>
        <v>20200</v>
      </c>
    </row>
    <row r="11" spans="1:14" x14ac:dyDescent="0.3">
      <c r="A11" s="20" t="s">
        <v>4</v>
      </c>
      <c r="B11" s="44">
        <v>1</v>
      </c>
      <c r="C11" s="3"/>
      <c r="D11" s="33"/>
      <c r="E11" s="34"/>
      <c r="F11" s="3"/>
      <c r="G11" s="29"/>
      <c r="H11" s="28"/>
      <c r="I11" s="3"/>
      <c r="J11" s="7" t="s">
        <v>15</v>
      </c>
      <c r="K11" s="23">
        <f>$B$12*350</f>
        <v>350</v>
      </c>
      <c r="L11" s="3"/>
      <c r="M11" s="7" t="s">
        <v>28</v>
      </c>
      <c r="N11" s="24">
        <f>B13*46.5</f>
        <v>9300</v>
      </c>
    </row>
    <row r="12" spans="1:14" x14ac:dyDescent="0.3">
      <c r="A12" s="20" t="s">
        <v>5</v>
      </c>
      <c r="B12" s="44">
        <v>1</v>
      </c>
      <c r="C12" s="3"/>
      <c r="D12" s="33"/>
      <c r="E12" s="34"/>
      <c r="F12" s="3"/>
      <c r="G12" s="47"/>
      <c r="H12" s="48"/>
      <c r="I12" s="3"/>
      <c r="J12" s="7" t="s">
        <v>16</v>
      </c>
      <c r="K12" s="23">
        <f>IF($H$9="J",($H$7-$B$14)*40000,($H$6-$B$14)*20000)</f>
        <v>240000</v>
      </c>
      <c r="L12" s="3"/>
      <c r="M12" s="7"/>
      <c r="N12" s="9"/>
    </row>
    <row r="13" spans="1:14" x14ac:dyDescent="0.3">
      <c r="A13" s="20" t="s">
        <v>29</v>
      </c>
      <c r="B13" s="44">
        <v>200</v>
      </c>
      <c r="C13" s="3"/>
      <c r="D13" s="194" t="s">
        <v>39</v>
      </c>
      <c r="E13" s="219"/>
      <c r="F13" s="3"/>
      <c r="G13" s="196" t="s">
        <v>53</v>
      </c>
      <c r="H13" s="220"/>
      <c r="I13" s="3"/>
      <c r="J13" s="7" t="s">
        <v>17</v>
      </c>
      <c r="K13" s="23">
        <f>95000</f>
        <v>95000</v>
      </c>
      <c r="L13" s="3"/>
      <c r="M13" s="7"/>
      <c r="N13" s="9"/>
    </row>
    <row r="14" spans="1:14" ht="14.5" thickBot="1" x14ac:dyDescent="0.35">
      <c r="A14" s="20" t="s">
        <v>31</v>
      </c>
      <c r="B14" s="44">
        <v>1</v>
      </c>
      <c r="C14" s="3"/>
      <c r="D14" s="33"/>
      <c r="E14" s="34"/>
      <c r="F14" s="3"/>
      <c r="G14" s="221"/>
      <c r="H14" s="220"/>
      <c r="I14" s="3"/>
      <c r="J14" s="7" t="s">
        <v>49</v>
      </c>
      <c r="K14" s="23">
        <f>$B$6*50</f>
        <v>71000</v>
      </c>
      <c r="L14" s="3"/>
      <c r="M14" s="7"/>
      <c r="N14" s="9"/>
    </row>
    <row r="15" spans="1:14" ht="15" thickTop="1" thickBot="1" x14ac:dyDescent="0.35">
      <c r="A15" s="20" t="s">
        <v>27</v>
      </c>
      <c r="B15" s="44" t="s">
        <v>43</v>
      </c>
      <c r="C15" s="3"/>
      <c r="D15" s="33" t="s">
        <v>24</v>
      </c>
      <c r="E15" s="38">
        <f>SUM(B8:B9)+IF(H9="J",H7,H6)-B14+1</f>
        <v>17</v>
      </c>
      <c r="F15" s="3"/>
      <c r="G15" s="221"/>
      <c r="H15" s="220"/>
      <c r="I15" s="3"/>
      <c r="J15" s="7" t="s">
        <v>18</v>
      </c>
      <c r="K15" s="25">
        <f>$B$6*200</f>
        <v>284000</v>
      </c>
      <c r="L15" s="3"/>
      <c r="M15" s="11" t="s">
        <v>58</v>
      </c>
      <c r="N15" s="45">
        <f>SUM(N6:N11)</f>
        <v>60056.2</v>
      </c>
    </row>
    <row r="16" spans="1:14" ht="15" thickTop="1" thickBot="1" x14ac:dyDescent="0.35">
      <c r="A16" s="20" t="s">
        <v>30</v>
      </c>
      <c r="B16" s="44">
        <v>8</v>
      </c>
      <c r="C16" s="3"/>
      <c r="D16" s="33" t="s">
        <v>25</v>
      </c>
      <c r="E16" s="42">
        <f>B11</f>
        <v>1</v>
      </c>
      <c r="F16" s="3"/>
      <c r="G16" s="221"/>
      <c r="H16" s="220"/>
      <c r="I16" s="3"/>
      <c r="J16" s="11" t="s">
        <v>36</v>
      </c>
      <c r="K16" s="26">
        <f>SUM(K6:K15)</f>
        <v>888516</v>
      </c>
      <c r="L16" s="3"/>
      <c r="M16" s="11" t="s">
        <v>55</v>
      </c>
      <c r="N16" s="45">
        <f>IF(B17="N",N15/12*B16,N15)</f>
        <v>40037.466666666667</v>
      </c>
    </row>
    <row r="17" spans="1:14" ht="15" thickTop="1" thickBot="1" x14ac:dyDescent="0.35">
      <c r="A17" s="20" t="s">
        <v>37</v>
      </c>
      <c r="B17" s="44" t="s">
        <v>43</v>
      </c>
      <c r="C17" s="3"/>
      <c r="D17" s="33" t="s">
        <v>26</v>
      </c>
      <c r="E17" s="40">
        <f>E15+IF(B15="J",E16,0)</f>
        <v>17</v>
      </c>
      <c r="F17" s="3"/>
      <c r="G17" s="221"/>
      <c r="H17" s="220"/>
      <c r="I17" s="3"/>
      <c r="J17" s="11"/>
      <c r="K17" s="46"/>
      <c r="L17" s="3"/>
      <c r="M17" s="11"/>
      <c r="N17" s="9"/>
    </row>
    <row r="18" spans="1:14" ht="15" thickTop="1" thickBot="1" x14ac:dyDescent="0.35">
      <c r="A18" s="21" t="s">
        <v>32</v>
      </c>
      <c r="B18" s="50">
        <v>120000</v>
      </c>
      <c r="C18" s="51"/>
      <c r="D18" s="32"/>
      <c r="E18" s="36"/>
      <c r="F18" s="3"/>
      <c r="G18" s="222"/>
      <c r="H18" s="223"/>
      <c r="I18" s="3"/>
      <c r="J18" s="49"/>
      <c r="K18" s="52"/>
      <c r="L18" s="51"/>
      <c r="M18" s="49"/>
      <c r="N18" s="10"/>
    </row>
    <row r="19" spans="1:14" ht="14.5" thickBot="1" x14ac:dyDescent="0.35"/>
    <row r="20" spans="1:14" ht="15.5" x14ac:dyDescent="0.35">
      <c r="A20" s="12"/>
      <c r="B20" s="13"/>
      <c r="C20" s="13"/>
      <c r="D20" s="200" t="s">
        <v>33</v>
      </c>
      <c r="E20" s="200"/>
      <c r="F20" s="201">
        <f>IF(B17="J",0,K16)+IF(B17="J",N15,N16)</f>
        <v>928553.46666666667</v>
      </c>
      <c r="G20" s="201"/>
      <c r="H20" s="201"/>
      <c r="I20" s="13"/>
      <c r="J20" s="214"/>
      <c r="K20" s="215"/>
      <c r="L20" s="215"/>
      <c r="M20" s="215"/>
      <c r="N20" s="216"/>
    </row>
    <row r="21" spans="1:14" ht="16" thickBot="1" x14ac:dyDescent="0.4">
      <c r="A21" s="15"/>
      <c r="B21" s="193" t="s">
        <v>34</v>
      </c>
      <c r="C21" s="193"/>
      <c r="D21" s="193"/>
      <c r="E21" s="193"/>
      <c r="F21" s="202">
        <f>F20/B18</f>
        <v>7.7379455555555552</v>
      </c>
      <c r="G21" s="203"/>
      <c r="H21" s="203"/>
      <c r="I21" s="16"/>
      <c r="J21" s="217"/>
      <c r="K21" s="217"/>
      <c r="L21" s="217"/>
      <c r="M21" s="217"/>
      <c r="N21" s="218"/>
    </row>
  </sheetData>
  <mergeCells count="14">
    <mergeCell ref="D13:E13"/>
    <mergeCell ref="G13:H18"/>
    <mergeCell ref="D20:E20"/>
    <mergeCell ref="F20:H20"/>
    <mergeCell ref="J20:N21"/>
    <mergeCell ref="B21:E21"/>
    <mergeCell ref="F21:H21"/>
    <mergeCell ref="A1:N1"/>
    <mergeCell ref="A2:N2"/>
    <mergeCell ref="A4:B4"/>
    <mergeCell ref="D4:E4"/>
    <mergeCell ref="G4:H4"/>
    <mergeCell ref="J4:K4"/>
    <mergeCell ref="M4:N4"/>
  </mergeCells>
  <conditionalFormatting sqref="A16:B16">
    <cfRule type="expression" dxfId="78" priority="2">
      <formula>$B$17="J"</formula>
    </cfRule>
  </conditionalFormatting>
  <conditionalFormatting sqref="B6:B9">
    <cfRule type="expression" dxfId="77" priority="11">
      <formula>OR(NOT(ISNUMBER(B6)),B6&lt;=0)</formula>
    </cfRule>
  </conditionalFormatting>
  <conditionalFormatting sqref="B11">
    <cfRule type="expression" dxfId="76" priority="5">
      <formula>OR(NOT(ISNUMBER(B11)),B11&lt;=0)</formula>
    </cfRule>
  </conditionalFormatting>
  <conditionalFormatting sqref="B12:B13">
    <cfRule type="expression" dxfId="75" priority="6">
      <formula>NOT(ISNUMBER(B12))</formula>
    </cfRule>
  </conditionalFormatting>
  <conditionalFormatting sqref="B14">
    <cfRule type="expression" dxfId="74" priority="8">
      <formula>OR(NOT(ISNUMBER(B14)),B14&lt;=0)</formula>
    </cfRule>
  </conditionalFormatting>
  <conditionalFormatting sqref="B15">
    <cfRule type="expression" dxfId="73" priority="9">
      <formula>AND(B15&lt;&gt;"J",B15&lt;&gt;"N")</formula>
    </cfRule>
  </conditionalFormatting>
  <conditionalFormatting sqref="B17">
    <cfRule type="expression" dxfId="72" priority="4">
      <formula>AND(B17&lt;&gt;"J",B17&lt;&gt;"N")</formula>
    </cfRule>
  </conditionalFormatting>
  <conditionalFormatting sqref="B18">
    <cfRule type="expression" dxfId="71" priority="10">
      <formula>OR(NOT(ISNUMBER(B18)),B18&lt;=0)</formula>
    </cfRule>
  </conditionalFormatting>
  <conditionalFormatting sqref="J20:N21">
    <cfRule type="expression" dxfId="70" priority="1">
      <formula>$B$17="J"</formula>
    </cfRule>
  </conditionalFormatting>
  <conditionalFormatting sqref="K6:K16">
    <cfRule type="expression" dxfId="69" priority="3">
      <formula>$B$17="J"</formula>
    </cfRule>
  </conditionalFormatting>
  <dataValidations count="2">
    <dataValidation type="list" allowBlank="1" showInputMessage="1" showErrorMessage="1" sqref="B17" xr:uid="{BFA93D72-181C-414B-A8C9-0A33517387B0}">
      <formula1>"J,N"</formula1>
    </dataValidation>
    <dataValidation type="whole" allowBlank="1" showInputMessage="1" showErrorMessage="1" sqref="B16" xr:uid="{50485318-9BF9-46D5-AEE6-E1CD143A5AF0}">
      <formula1>1</formula1>
      <formula2>12</formula2>
    </dataValidation>
  </dataValidations>
  <pageMargins left="0.7" right="0.7" top="0.78740157499999996" bottom="0.78740157499999996" header="0.3" footer="0.3"/>
  <pageSetup paperSize="9" orientation="portrait" verticalDpi="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DE7C7-5CD7-45E2-A2E3-44F4289F490A}">
  <dimension ref="A1:N23"/>
  <sheetViews>
    <sheetView topLeftCell="A12" workbookViewId="0">
      <selection activeCell="F23" sqref="F23:H23"/>
    </sheetView>
  </sheetViews>
  <sheetFormatPr baseColWidth="10" defaultRowHeight="14" x14ac:dyDescent="0.3"/>
  <cols>
    <col min="2" max="2" width="16.83203125" customWidth="1"/>
    <col min="3" max="3" width="0.58203125" customWidth="1"/>
    <col min="4" max="4" width="17" customWidth="1"/>
    <col min="6" max="6" width="0.58203125" customWidth="1"/>
    <col min="9" max="9" width="0.58203125" customWidth="1"/>
    <col min="10" max="10" width="16.58203125" customWidth="1"/>
    <col min="11" max="11" width="16.75" customWidth="1"/>
    <col min="12" max="12" width="0.58203125" customWidth="1"/>
    <col min="14" max="14" width="15.75" customWidth="1"/>
  </cols>
  <sheetData>
    <row r="1" spans="1:14" ht="17.5" x14ac:dyDescent="0.35">
      <c r="A1" s="191" t="s">
        <v>64</v>
      </c>
      <c r="B1" s="191"/>
      <c r="C1" s="191"/>
      <c r="D1" s="191"/>
      <c r="E1" s="191"/>
      <c r="F1" s="191"/>
      <c r="G1" s="191"/>
      <c r="H1" s="191"/>
      <c r="I1" s="191"/>
      <c r="J1" s="191"/>
      <c r="K1" s="191"/>
      <c r="L1" s="191"/>
      <c r="M1" s="191"/>
      <c r="N1" s="191"/>
    </row>
    <row r="2" spans="1:14" x14ac:dyDescent="0.3">
      <c r="A2" s="192" t="s">
        <v>72</v>
      </c>
      <c r="B2" s="192"/>
      <c r="C2" s="192"/>
      <c r="D2" s="192"/>
      <c r="E2" s="192"/>
      <c r="F2" s="192"/>
      <c r="G2" s="192"/>
      <c r="H2" s="192"/>
      <c r="I2" s="192"/>
      <c r="J2" s="192"/>
      <c r="K2" s="192"/>
      <c r="L2" s="192"/>
      <c r="M2" s="192"/>
      <c r="N2" s="192"/>
    </row>
    <row r="3" spans="1:14" ht="14.5" thickBot="1" x14ac:dyDescent="0.35"/>
    <row r="4" spans="1:14" x14ac:dyDescent="0.3">
      <c r="A4" s="210" t="s">
        <v>46</v>
      </c>
      <c r="B4" s="211"/>
      <c r="D4" s="204" t="s">
        <v>44</v>
      </c>
      <c r="E4" s="205"/>
      <c r="F4" s="2"/>
      <c r="G4" s="206" t="s">
        <v>38</v>
      </c>
      <c r="H4" s="207"/>
      <c r="I4" s="4"/>
      <c r="J4" s="208" t="s">
        <v>41</v>
      </c>
      <c r="K4" s="209"/>
      <c r="L4" s="2"/>
      <c r="M4" s="208" t="s">
        <v>19</v>
      </c>
      <c r="N4" s="209"/>
    </row>
    <row r="5" spans="1:14" x14ac:dyDescent="0.3">
      <c r="A5" s="19"/>
      <c r="B5" s="22"/>
      <c r="D5" s="18"/>
      <c r="E5" s="31"/>
      <c r="G5" s="27"/>
      <c r="H5" s="28"/>
      <c r="J5" s="5"/>
      <c r="K5" s="6"/>
      <c r="M5" s="5"/>
      <c r="N5" s="6"/>
    </row>
    <row r="6" spans="1:14" x14ac:dyDescent="0.3">
      <c r="A6" s="20" t="s">
        <v>0</v>
      </c>
      <c r="B6" s="44">
        <v>1420</v>
      </c>
      <c r="C6" s="3"/>
      <c r="D6" s="33" t="s">
        <v>6</v>
      </c>
      <c r="E6" s="38">
        <f>ROUNDUP(B6/25,0)</f>
        <v>57</v>
      </c>
      <c r="F6" s="3"/>
      <c r="G6" s="29" t="s">
        <v>10</v>
      </c>
      <c r="H6" s="35">
        <f>MAX(B14,ROUNDUP(E9/25,0))+B14</f>
        <v>13</v>
      </c>
      <c r="I6" s="3"/>
      <c r="J6" s="7" t="s">
        <v>12</v>
      </c>
      <c r="K6" s="24">
        <f>IF(H9="J",H7*3088,H6*1544)</f>
        <v>21616</v>
      </c>
      <c r="L6" s="3"/>
      <c r="M6" s="7" t="s">
        <v>20</v>
      </c>
      <c r="N6" s="24">
        <f>K6*0.2</f>
        <v>4323.2</v>
      </c>
    </row>
    <row r="7" spans="1:14" x14ac:dyDescent="0.3">
      <c r="A7" s="20" t="s">
        <v>1</v>
      </c>
      <c r="B7" s="44">
        <v>426</v>
      </c>
      <c r="C7" s="3"/>
      <c r="D7" s="33" t="s">
        <v>7</v>
      </c>
      <c r="E7" s="37">
        <f>B9+(B8)*3</f>
        <v>12</v>
      </c>
      <c r="F7" s="3"/>
      <c r="G7" s="29" t="s">
        <v>11</v>
      </c>
      <c r="H7" s="35">
        <f>MAX(ROUNDUP(E9/50,0),B14)+B14</f>
        <v>7</v>
      </c>
      <c r="I7" s="3"/>
      <c r="J7" s="7" t="s">
        <v>47</v>
      </c>
      <c r="K7" s="24">
        <f>H6*400</f>
        <v>5200</v>
      </c>
      <c r="L7" s="3"/>
      <c r="M7" s="7" t="s">
        <v>21</v>
      </c>
      <c r="N7" s="24">
        <f>(IF(H9="J",H7,H6)-B14)*792</f>
        <v>4752</v>
      </c>
    </row>
    <row r="8" spans="1:14" ht="14.5" thickBot="1" x14ac:dyDescent="0.35">
      <c r="A8" s="20" t="s">
        <v>2</v>
      </c>
      <c r="B8" s="44">
        <v>1</v>
      </c>
      <c r="C8" s="3"/>
      <c r="D8" s="33" t="s">
        <v>8</v>
      </c>
      <c r="E8" s="39">
        <f>ROUNDUP(B7/2,0)</f>
        <v>213</v>
      </c>
      <c r="F8" s="3"/>
      <c r="G8" s="29"/>
      <c r="H8" s="30"/>
      <c r="I8" s="3"/>
      <c r="J8" s="7" t="s">
        <v>13</v>
      </c>
      <c r="K8" s="24">
        <f>IF(AND($H$9="J",($H$7-$B$14)&gt;1),2000,0)</f>
        <v>2000</v>
      </c>
      <c r="L8" s="3"/>
      <c r="M8" s="7" t="s">
        <v>22</v>
      </c>
      <c r="N8" s="24">
        <f>MIN((ROUNDUP(E9/25,0)-1)*1800+100,54100)</f>
        <v>19900</v>
      </c>
    </row>
    <row r="9" spans="1:14" ht="14.5" thickBot="1" x14ac:dyDescent="0.35">
      <c r="A9" s="20" t="s">
        <v>3</v>
      </c>
      <c r="B9" s="44">
        <v>9</v>
      </c>
      <c r="C9" s="3"/>
      <c r="D9" s="33" t="s">
        <v>9</v>
      </c>
      <c r="E9" s="40">
        <f>SUM(E6:E8)</f>
        <v>282</v>
      </c>
      <c r="F9" s="3"/>
      <c r="G9" s="29" t="s">
        <v>40</v>
      </c>
      <c r="H9" s="41" t="str">
        <f>IF(E9&gt;=50,"J","N")</f>
        <v>J</v>
      </c>
      <c r="I9" s="3"/>
      <c r="J9" s="7" t="s">
        <v>48</v>
      </c>
      <c r="K9" s="24">
        <f>H6*120</f>
        <v>1560</v>
      </c>
      <c r="L9" s="3"/>
      <c r="M9" s="7" t="s">
        <v>23</v>
      </c>
      <c r="N9" s="24">
        <f>E17*93</f>
        <v>1581</v>
      </c>
    </row>
    <row r="10" spans="1:14" ht="15" thickTop="1" thickBot="1" x14ac:dyDescent="0.35">
      <c r="A10" s="20"/>
      <c r="B10" s="22"/>
      <c r="C10" s="3"/>
      <c r="D10" s="33" t="s">
        <v>67</v>
      </c>
      <c r="E10" s="40">
        <f>IF(H9="J",2*H7,H6)</f>
        <v>14</v>
      </c>
      <c r="F10" s="3"/>
      <c r="G10" s="27"/>
      <c r="H10" s="28"/>
      <c r="I10" s="3">
        <v>0</v>
      </c>
      <c r="J10" s="7" t="s">
        <v>14</v>
      </c>
      <c r="K10" s="23">
        <f>E9*677.5+E10*677.5</f>
        <v>200540</v>
      </c>
      <c r="L10" s="3"/>
      <c r="M10" s="7" t="s">
        <v>51</v>
      </c>
      <c r="N10" s="24">
        <f>6000+B6*10</f>
        <v>20200</v>
      </c>
    </row>
    <row r="11" spans="1:14" ht="14.5" thickTop="1" x14ac:dyDescent="0.3">
      <c r="A11" s="20" t="s">
        <v>4</v>
      </c>
      <c r="B11" s="44">
        <v>1</v>
      </c>
      <c r="C11" s="3"/>
      <c r="D11" s="33"/>
      <c r="E11" s="34"/>
      <c r="F11" s="3"/>
      <c r="G11" s="29"/>
      <c r="H11" s="28"/>
      <c r="I11" s="3"/>
      <c r="J11" s="7" t="s">
        <v>15</v>
      </c>
      <c r="K11" s="23">
        <f>$B$12*350</f>
        <v>350</v>
      </c>
      <c r="L11" s="3"/>
      <c r="M11" s="7" t="s">
        <v>28</v>
      </c>
      <c r="N11" s="24">
        <f>B13*46.5</f>
        <v>9300</v>
      </c>
    </row>
    <row r="12" spans="1:14" x14ac:dyDescent="0.3">
      <c r="A12" s="20" t="s">
        <v>5</v>
      </c>
      <c r="B12" s="44">
        <v>1</v>
      </c>
      <c r="C12" s="3"/>
      <c r="D12" s="33"/>
      <c r="E12" s="34"/>
      <c r="F12" s="3"/>
      <c r="G12" s="47"/>
      <c r="H12" s="48"/>
      <c r="I12" s="3"/>
      <c r="J12" s="7" t="s">
        <v>16</v>
      </c>
      <c r="K12" s="23">
        <f>IF($H$9="J",($H$7-$B$14)*40000,($H$6-$B$14)*20000)</f>
        <v>240000</v>
      </c>
      <c r="L12" s="3"/>
      <c r="M12" s="7" t="s">
        <v>68</v>
      </c>
      <c r="N12" s="24">
        <f>IF(B18="J", 35.46+(B19-1)*30.82,0)</f>
        <v>0</v>
      </c>
    </row>
    <row r="13" spans="1:14" x14ac:dyDescent="0.3">
      <c r="A13" s="20" t="s">
        <v>29</v>
      </c>
      <c r="B13" s="44">
        <v>200</v>
      </c>
      <c r="C13" s="3"/>
      <c r="D13" s="194" t="s">
        <v>39</v>
      </c>
      <c r="E13" s="219"/>
      <c r="F13" s="3"/>
      <c r="G13" s="196" t="s">
        <v>53</v>
      </c>
      <c r="H13" s="220"/>
      <c r="I13" s="3"/>
      <c r="J13" s="7" t="s">
        <v>17</v>
      </c>
      <c r="K13" s="23">
        <f>95000</f>
        <v>95000</v>
      </c>
      <c r="L13" s="3"/>
      <c r="M13" s="7"/>
      <c r="N13" s="9"/>
    </row>
    <row r="14" spans="1:14" ht="14.5" thickBot="1" x14ac:dyDescent="0.35">
      <c r="A14" s="20" t="s">
        <v>31</v>
      </c>
      <c r="B14" s="44">
        <v>1</v>
      </c>
      <c r="C14" s="3"/>
      <c r="D14" s="33"/>
      <c r="E14" s="34"/>
      <c r="F14" s="3"/>
      <c r="G14" s="221"/>
      <c r="H14" s="220"/>
      <c r="I14" s="3"/>
      <c r="J14" s="7" t="s">
        <v>49</v>
      </c>
      <c r="K14" s="23">
        <f>$B$6*50</f>
        <v>71000</v>
      </c>
      <c r="L14" s="3"/>
      <c r="M14" s="7"/>
      <c r="N14" s="9"/>
    </row>
    <row r="15" spans="1:14" ht="15" thickTop="1" thickBot="1" x14ac:dyDescent="0.35">
      <c r="A15" s="20" t="s">
        <v>27</v>
      </c>
      <c r="B15" s="44" t="s">
        <v>43</v>
      </c>
      <c r="C15" s="3"/>
      <c r="D15" s="33" t="s">
        <v>24</v>
      </c>
      <c r="E15" s="38">
        <f>SUM(B8:B9)+IF(H9="J",H7,H6)-B14+1</f>
        <v>17</v>
      </c>
      <c r="F15" s="3"/>
      <c r="G15" s="221"/>
      <c r="H15" s="220"/>
      <c r="I15" s="3"/>
      <c r="J15" s="7" t="s">
        <v>18</v>
      </c>
      <c r="K15" s="25">
        <f>$B$6*200</f>
        <v>284000</v>
      </c>
      <c r="L15" s="3"/>
      <c r="M15" s="11" t="s">
        <v>58</v>
      </c>
      <c r="N15" s="45">
        <f>SUM(N6:N12)</f>
        <v>60056.2</v>
      </c>
    </row>
    <row r="16" spans="1:14" ht="15" thickTop="1" thickBot="1" x14ac:dyDescent="0.35">
      <c r="A16" s="20" t="s">
        <v>30</v>
      </c>
      <c r="B16" s="44">
        <v>8</v>
      </c>
      <c r="C16" s="3"/>
      <c r="D16" s="33" t="s">
        <v>25</v>
      </c>
      <c r="E16" s="42">
        <f>B11</f>
        <v>1</v>
      </c>
      <c r="F16" s="3"/>
      <c r="G16" s="221"/>
      <c r="H16" s="220"/>
      <c r="I16" s="3"/>
      <c r="J16" s="11" t="s">
        <v>36</v>
      </c>
      <c r="K16" s="26">
        <f>SUM(K6:K15)</f>
        <v>921266</v>
      </c>
      <c r="L16" s="3"/>
      <c r="M16" s="11" t="s">
        <v>55</v>
      </c>
      <c r="N16" s="45">
        <f>IF(B17="N",N15/12*B16,N15)</f>
        <v>40037.466666666667</v>
      </c>
    </row>
    <row r="17" spans="1:14" ht="14.5" thickTop="1" x14ac:dyDescent="0.3">
      <c r="A17" s="20" t="s">
        <v>37</v>
      </c>
      <c r="B17" s="44" t="s">
        <v>43</v>
      </c>
      <c r="C17" s="3"/>
      <c r="D17" s="33" t="s">
        <v>26</v>
      </c>
      <c r="E17" s="90">
        <f>E15+IF(B15="J",E16,0)</f>
        <v>17</v>
      </c>
      <c r="F17" s="3"/>
      <c r="G17" s="221"/>
      <c r="H17" s="220"/>
      <c r="I17" s="3"/>
      <c r="J17" s="11"/>
      <c r="K17" s="46"/>
      <c r="L17" s="3"/>
      <c r="M17" s="11"/>
      <c r="N17" s="9"/>
    </row>
    <row r="18" spans="1:14" x14ac:dyDescent="0.3">
      <c r="A18" s="20" t="s">
        <v>66</v>
      </c>
      <c r="B18" s="44" t="s">
        <v>43</v>
      </c>
      <c r="C18" s="3"/>
      <c r="D18" s="33"/>
      <c r="E18" s="91"/>
      <c r="F18" s="3"/>
      <c r="G18" s="221"/>
      <c r="H18" s="220"/>
      <c r="I18" s="3"/>
      <c r="J18" s="11"/>
      <c r="K18" s="46"/>
      <c r="L18" s="3"/>
      <c r="M18" s="11"/>
      <c r="N18" s="9"/>
    </row>
    <row r="19" spans="1:14" x14ac:dyDescent="0.3">
      <c r="A19" s="53" t="s">
        <v>71</v>
      </c>
      <c r="B19" s="44">
        <v>64</v>
      </c>
      <c r="C19" s="3"/>
      <c r="D19" s="33"/>
      <c r="E19" s="91"/>
      <c r="F19" s="3"/>
      <c r="G19" s="221"/>
      <c r="H19" s="220"/>
      <c r="I19" s="3"/>
      <c r="J19" s="11"/>
      <c r="K19" s="46"/>
      <c r="L19" s="3"/>
      <c r="M19" s="11"/>
      <c r="N19" s="9"/>
    </row>
    <row r="20" spans="1:14" ht="14.5" thickBot="1" x14ac:dyDescent="0.35">
      <c r="A20" s="21" t="s">
        <v>32</v>
      </c>
      <c r="B20" s="50">
        <v>120000</v>
      </c>
      <c r="C20" s="51"/>
      <c r="D20" s="32"/>
      <c r="E20" s="92"/>
      <c r="F20" s="3"/>
      <c r="G20" s="222"/>
      <c r="H20" s="223"/>
      <c r="I20" s="3"/>
      <c r="J20" s="49"/>
      <c r="K20" s="52"/>
      <c r="L20" s="51"/>
      <c r="M20" s="49"/>
      <c r="N20" s="10"/>
    </row>
    <row r="21" spans="1:14" ht="14.5" thickBot="1" x14ac:dyDescent="0.35"/>
    <row r="22" spans="1:14" ht="15.5" x14ac:dyDescent="0.35">
      <c r="A22" s="12"/>
      <c r="B22" s="13"/>
      <c r="C22" s="13"/>
      <c r="D22" s="200" t="s">
        <v>33</v>
      </c>
      <c r="E22" s="200"/>
      <c r="F22" s="201">
        <f>IF(B17="J",0,K16)+IF(B17="J",N15,N16)</f>
        <v>961303.46666666667</v>
      </c>
      <c r="G22" s="201"/>
      <c r="H22" s="201"/>
      <c r="I22" s="13"/>
      <c r="J22" s="214"/>
      <c r="K22" s="215"/>
      <c r="L22" s="215"/>
      <c r="M22" s="215"/>
      <c r="N22" s="216"/>
    </row>
    <row r="23" spans="1:14" ht="16" thickBot="1" x14ac:dyDescent="0.4">
      <c r="A23" s="15"/>
      <c r="B23" s="193" t="s">
        <v>34</v>
      </c>
      <c r="C23" s="193"/>
      <c r="D23" s="193"/>
      <c r="E23" s="193"/>
      <c r="F23" s="202">
        <f>F22/B20</f>
        <v>8.0108622222222223</v>
      </c>
      <c r="G23" s="203"/>
      <c r="H23" s="203"/>
      <c r="I23" s="16"/>
      <c r="J23" s="217"/>
      <c r="K23" s="217"/>
      <c r="L23" s="217"/>
      <c r="M23" s="217"/>
      <c r="N23" s="218"/>
    </row>
  </sheetData>
  <mergeCells count="14">
    <mergeCell ref="A1:N1"/>
    <mergeCell ref="A2:N2"/>
    <mergeCell ref="M4:N4"/>
    <mergeCell ref="J22:N23"/>
    <mergeCell ref="A4:B4"/>
    <mergeCell ref="D4:E4"/>
    <mergeCell ref="G4:H4"/>
    <mergeCell ref="J4:K4"/>
    <mergeCell ref="D13:E13"/>
    <mergeCell ref="G13:H20"/>
    <mergeCell ref="D22:E22"/>
    <mergeCell ref="F22:H22"/>
    <mergeCell ref="B23:E23"/>
    <mergeCell ref="F23:H23"/>
  </mergeCells>
  <conditionalFormatting sqref="A16:B16">
    <cfRule type="expression" dxfId="68" priority="3">
      <formula>$B$17="J"</formula>
    </cfRule>
  </conditionalFormatting>
  <conditionalFormatting sqref="B6:B9">
    <cfRule type="expression" dxfId="67" priority="12">
      <formula>OR(NOT(ISNUMBER(B6)),B6&lt;=0)</formula>
    </cfRule>
  </conditionalFormatting>
  <conditionalFormatting sqref="B11">
    <cfRule type="expression" dxfId="66" priority="6">
      <formula>OR(NOT(ISNUMBER(B11)),B11&lt;=0)</formula>
    </cfRule>
  </conditionalFormatting>
  <conditionalFormatting sqref="B12:B13">
    <cfRule type="expression" dxfId="65" priority="7">
      <formula>NOT(ISNUMBER(B12))</formula>
    </cfRule>
  </conditionalFormatting>
  <conditionalFormatting sqref="B14">
    <cfRule type="expression" dxfId="64" priority="9">
      <formula>OR(NOT(ISNUMBER(B14)),B14&lt;=0)</formula>
    </cfRule>
  </conditionalFormatting>
  <conditionalFormatting sqref="B15">
    <cfRule type="expression" dxfId="63" priority="10">
      <formula>AND(B15&lt;&gt;"J",B15&lt;&gt;"N")</formula>
    </cfRule>
  </conditionalFormatting>
  <conditionalFormatting sqref="B17:B18">
    <cfRule type="expression" dxfId="62" priority="5">
      <formula>AND(B17&lt;&gt;"J",B17&lt;&gt;"N")</formula>
    </cfRule>
  </conditionalFormatting>
  <conditionalFormatting sqref="B20">
    <cfRule type="expression" dxfId="61" priority="11">
      <formula>OR(NOT(ISNUMBER(B20)),B20&lt;=0)</formula>
    </cfRule>
  </conditionalFormatting>
  <conditionalFormatting sqref="J22:N23">
    <cfRule type="expression" dxfId="60" priority="2">
      <formula>$B$17="J"</formula>
    </cfRule>
  </conditionalFormatting>
  <conditionalFormatting sqref="K6:K16">
    <cfRule type="expression" dxfId="59" priority="4">
      <formula>$B$17="J"</formula>
    </cfRule>
  </conditionalFormatting>
  <dataValidations count="3">
    <dataValidation type="list" allowBlank="1" showInputMessage="1" showErrorMessage="1" sqref="B17:B18" xr:uid="{75B6F1D5-4638-4ECD-A4AC-9AD72BF838F7}">
      <formula1>"J,N"</formula1>
    </dataValidation>
    <dataValidation type="whole" allowBlank="1" showInputMessage="1" showErrorMessage="1" sqref="B16" xr:uid="{1628C583-227B-49CE-8678-41CF09843554}">
      <formula1>1</formula1>
      <formula2>12</formula2>
    </dataValidation>
    <dataValidation type="whole" allowBlank="1" showInputMessage="1" showErrorMessage="1" sqref="B19" xr:uid="{6B691BC3-F804-41C0-B86C-D24886B06BE9}">
      <formula1>1</formula1>
      <formula2>E6+E7</formula2>
    </dataValidation>
  </dataValidations>
  <pageMargins left="0.7" right="0.7" top="0.78740157499999996" bottom="0.78740157499999996" header="0.3" footer="0.3"/>
  <pageSetup paperSize="9" orientation="portrait" verticalDpi="0"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3"/>
  <sheetViews>
    <sheetView zoomScale="90" zoomScaleNormal="90" workbookViewId="0">
      <selection activeCell="K27" sqref="K27"/>
    </sheetView>
  </sheetViews>
  <sheetFormatPr baseColWidth="10" defaultRowHeight="14" x14ac:dyDescent="0.3"/>
  <cols>
    <col min="1" max="1" width="21.08203125" customWidth="1"/>
    <col min="2" max="2" width="11" customWidth="1"/>
    <col min="3" max="3" width="1.33203125" customWidth="1"/>
    <col min="4" max="4" width="12.75" customWidth="1"/>
    <col min="5" max="5" width="5.25" customWidth="1"/>
    <col min="6" max="6" width="2" customWidth="1"/>
    <col min="7" max="7" width="14.58203125" customWidth="1"/>
    <col min="8" max="8" width="4.75" customWidth="1"/>
    <col min="9" max="9" width="1.33203125" customWidth="1"/>
    <col min="10" max="10" width="18.08203125" customWidth="1"/>
    <col min="11" max="11" width="26.08203125" customWidth="1"/>
    <col min="12" max="12" width="11.58203125" bestFit="1" customWidth="1"/>
  </cols>
  <sheetData>
    <row r="1" spans="1:12" ht="27" customHeight="1" x14ac:dyDescent="0.35">
      <c r="A1" s="191" t="s">
        <v>64</v>
      </c>
      <c r="B1" s="191"/>
      <c r="C1" s="191"/>
      <c r="D1" s="191"/>
      <c r="E1" s="191"/>
      <c r="F1" s="191"/>
      <c r="G1" s="191"/>
      <c r="H1" s="191"/>
      <c r="I1" s="191"/>
      <c r="J1" s="191"/>
      <c r="K1" s="191"/>
    </row>
    <row r="2" spans="1:12" ht="15.75" customHeight="1" x14ac:dyDescent="0.3">
      <c r="A2" s="192" t="s">
        <v>69</v>
      </c>
      <c r="B2" s="192"/>
      <c r="C2" s="192"/>
      <c r="D2" s="192"/>
      <c r="E2" s="192"/>
      <c r="F2" s="192"/>
      <c r="G2" s="192"/>
      <c r="H2" s="192"/>
      <c r="I2" s="192"/>
      <c r="J2" s="192"/>
      <c r="K2" s="192"/>
    </row>
    <row r="3" spans="1:12" ht="49.5" customHeight="1" x14ac:dyDescent="0.3">
      <c r="A3" s="244" t="s">
        <v>70</v>
      </c>
      <c r="B3" s="213"/>
      <c r="C3" s="213"/>
      <c r="D3" s="213"/>
      <c r="E3" s="213"/>
      <c r="F3" s="213"/>
      <c r="G3" s="213"/>
      <c r="H3" s="213"/>
      <c r="I3" s="213"/>
      <c r="J3" s="213"/>
      <c r="K3" s="213"/>
    </row>
    <row r="4" spans="1:12" ht="48.75" customHeight="1" thickBot="1" x14ac:dyDescent="0.35">
      <c r="A4" s="224" t="s">
        <v>59</v>
      </c>
      <c r="B4" s="225"/>
      <c r="C4" s="225"/>
      <c r="D4" s="225"/>
      <c r="E4" s="225"/>
      <c r="F4" s="225"/>
      <c r="G4" s="225"/>
      <c r="H4" s="225"/>
      <c r="I4" s="225"/>
      <c r="J4" s="225"/>
      <c r="K4" s="225"/>
    </row>
    <row r="5" spans="1:12" ht="31.5" customHeight="1" x14ac:dyDescent="0.3">
      <c r="A5" s="233" t="s">
        <v>46</v>
      </c>
      <c r="B5" s="234"/>
      <c r="C5" s="54"/>
      <c r="D5" s="235" t="s">
        <v>44</v>
      </c>
      <c r="E5" s="236"/>
      <c r="F5" s="55"/>
      <c r="G5" s="235" t="s">
        <v>38</v>
      </c>
      <c r="H5" s="236"/>
      <c r="I5" s="56"/>
      <c r="J5" s="237" t="s">
        <v>57</v>
      </c>
      <c r="K5" s="238"/>
    </row>
    <row r="6" spans="1:12" ht="13.9" customHeight="1" x14ac:dyDescent="0.3">
      <c r="A6" s="57"/>
      <c r="B6" s="58"/>
      <c r="C6" s="54"/>
      <c r="D6" s="57"/>
      <c r="E6" s="58"/>
      <c r="F6" s="54"/>
      <c r="G6" s="57"/>
      <c r="H6" s="58"/>
      <c r="I6" s="54"/>
      <c r="J6" s="57"/>
      <c r="K6" s="58"/>
    </row>
    <row r="7" spans="1:12" ht="13.9" customHeight="1" x14ac:dyDescent="0.3">
      <c r="A7" s="59" t="s">
        <v>0</v>
      </c>
      <c r="B7" s="60">
        <f>'Kalkulator 10_2020 - 12_2021'!B6</f>
        <v>1420</v>
      </c>
      <c r="C7" s="61"/>
      <c r="D7" s="62" t="s">
        <v>6</v>
      </c>
      <c r="E7" s="63">
        <f>'Kalkulator 10_2020 - 12_2021'!E6</f>
        <v>57</v>
      </c>
      <c r="F7" s="61"/>
      <c r="G7" s="62" t="s">
        <v>10</v>
      </c>
      <c r="H7" s="63">
        <f>'Kalkulator 10_2020 - 12_2021'!H6</f>
        <v>13</v>
      </c>
      <c r="I7" s="61"/>
      <c r="J7" s="62" t="s">
        <v>12</v>
      </c>
      <c r="K7" s="64">
        <f>IF(H10="J",(H8-H12)*2788,(H7-H12)*1394)</f>
        <v>2788</v>
      </c>
    </row>
    <row r="8" spans="1:12" ht="13.9" customHeight="1" x14ac:dyDescent="0.3">
      <c r="A8" s="59" t="s">
        <v>1</v>
      </c>
      <c r="B8" s="60">
        <f>'Kalkulator 10_2020 - 12_2021'!B7</f>
        <v>426</v>
      </c>
      <c r="C8" s="61"/>
      <c r="D8" s="62" t="s">
        <v>7</v>
      </c>
      <c r="E8" s="65">
        <f>'Kalkulator 10_2020 - 12_2021'!E7</f>
        <v>12</v>
      </c>
      <c r="F8" s="61"/>
      <c r="G8" s="62" t="s">
        <v>11</v>
      </c>
      <c r="H8" s="63">
        <f>'Kalkulator 10_2020 - 12_2021'!H7</f>
        <v>7</v>
      </c>
      <c r="I8" s="61"/>
      <c r="J8" s="62" t="s">
        <v>47</v>
      </c>
      <c r="K8" s="64">
        <f>H7*400</f>
        <v>5200</v>
      </c>
    </row>
    <row r="9" spans="1:12" ht="13.9" customHeight="1" thickBot="1" x14ac:dyDescent="0.35">
      <c r="A9" s="59" t="s">
        <v>2</v>
      </c>
      <c r="B9" s="60">
        <f>'Kalkulator 10_2020 - 12_2021'!B8</f>
        <v>1</v>
      </c>
      <c r="C9" s="61"/>
      <c r="D9" s="62" t="s">
        <v>8</v>
      </c>
      <c r="E9" s="66">
        <f>'Kalkulator 10_2020 - 12_2021'!E8</f>
        <v>213</v>
      </c>
      <c r="F9" s="61"/>
      <c r="G9" s="62"/>
      <c r="H9" s="66"/>
      <c r="I9" s="61"/>
      <c r="J9" s="62" t="s">
        <v>13</v>
      </c>
      <c r="K9" s="64">
        <f>IF(AND($H$10="J",($H$8-$B$15)&gt;1),2000,0)-'Kalkulator bis 9_2020'!K7</f>
        <v>0</v>
      </c>
      <c r="L9" s="1" t="str">
        <f>IF(ROUNDUP(E10/25,0)&gt;30,((ROUNDUP(E10/25,0)-1)*1800-54000),"")</f>
        <v/>
      </c>
    </row>
    <row r="10" spans="1:12" ht="13.9" customHeight="1" thickBot="1" x14ac:dyDescent="0.35">
      <c r="A10" s="59" t="s">
        <v>3</v>
      </c>
      <c r="B10" s="60">
        <f>'Kalkulator 10_2020 - 12_2021'!B9</f>
        <v>9</v>
      </c>
      <c r="C10" s="61"/>
      <c r="D10" s="62" t="s">
        <v>9</v>
      </c>
      <c r="E10" s="67">
        <f>'Kalkulator 10_2020 - 12_2021'!E9</f>
        <v>282</v>
      </c>
      <c r="F10" s="61"/>
      <c r="G10" s="62" t="s">
        <v>40</v>
      </c>
      <c r="H10" s="68" t="str">
        <f>'Kalkulator bis 9_2020'!H9</f>
        <v>J</v>
      </c>
      <c r="I10" s="61"/>
      <c r="J10" s="62" t="s">
        <v>48</v>
      </c>
      <c r="K10" s="64">
        <f>H7*120</f>
        <v>1560</v>
      </c>
    </row>
    <row r="11" spans="1:12" ht="13.9" customHeight="1" thickTop="1" x14ac:dyDescent="0.3">
      <c r="A11" s="59"/>
      <c r="B11" s="58"/>
      <c r="C11" s="61"/>
      <c r="D11" s="62"/>
      <c r="E11" s="66"/>
      <c r="F11" s="61"/>
      <c r="G11" s="57"/>
      <c r="H11" s="58"/>
      <c r="I11" s="61">
        <v>0</v>
      </c>
      <c r="J11" s="62" t="s">
        <v>14</v>
      </c>
      <c r="K11" s="69">
        <f>(E10-E12)*595</f>
        <v>42245</v>
      </c>
    </row>
    <row r="12" spans="1:12" ht="13.9" customHeight="1" x14ac:dyDescent="0.3">
      <c r="A12" s="59" t="s">
        <v>4</v>
      </c>
      <c r="B12" s="60">
        <f>'Kalkulator 10_2020 - 12_2021'!B11</f>
        <v>1</v>
      </c>
      <c r="C12" s="61"/>
      <c r="D12" s="62" t="s">
        <v>52</v>
      </c>
      <c r="E12" s="65">
        <f>'Kalkulator bis 9_2020'!E9</f>
        <v>211</v>
      </c>
      <c r="F12" s="61"/>
      <c r="G12" s="62" t="s">
        <v>54</v>
      </c>
      <c r="H12" s="63">
        <f>IF('Kalkulator bis 9_2020'!H9="J",'Kalkulator bis 9_2020'!H7,'Kalkulator bis 9_2020'!H6)</f>
        <v>6</v>
      </c>
      <c r="I12" s="61"/>
      <c r="J12" s="62" t="s">
        <v>15</v>
      </c>
      <c r="K12" s="69">
        <f>$B$13*350-'Kalkulator bis 9_2020'!K9</f>
        <v>0</v>
      </c>
    </row>
    <row r="13" spans="1:12" ht="13.9" customHeight="1" x14ac:dyDescent="0.3">
      <c r="A13" s="59" t="s">
        <v>5</v>
      </c>
      <c r="B13" s="60">
        <f>'Kalkulator 10_2020 - 12_2021'!B12</f>
        <v>1</v>
      </c>
      <c r="C13" s="61"/>
      <c r="D13" s="62"/>
      <c r="E13" s="66"/>
      <c r="F13" s="61"/>
      <c r="G13" s="70"/>
      <c r="H13" s="71"/>
      <c r="I13" s="61"/>
      <c r="J13" s="62" t="s">
        <v>16</v>
      </c>
      <c r="K13" s="69">
        <f>IF($H$10="J",($H$8-$B$15)*40000,($H$7-$B$15)*20000)-'Kalkulator bis 9_2020'!K10</f>
        <v>40000</v>
      </c>
    </row>
    <row r="14" spans="1:12" ht="13.9" customHeight="1" x14ac:dyDescent="0.3">
      <c r="A14" s="59" t="s">
        <v>29</v>
      </c>
      <c r="B14" s="60">
        <f>'Kalkulator 10_2020 - 12_2021'!B13</f>
        <v>200</v>
      </c>
      <c r="C14" s="61"/>
      <c r="D14" s="226" t="s">
        <v>39</v>
      </c>
      <c r="E14" s="227"/>
      <c r="F14" s="61"/>
      <c r="G14" s="228" t="s">
        <v>53</v>
      </c>
      <c r="H14" s="229"/>
      <c r="I14" s="61"/>
      <c r="J14" s="62" t="s">
        <v>17</v>
      </c>
      <c r="K14" s="69">
        <f>95000-'Kalkulator bis 9_2020'!K11</f>
        <v>45000</v>
      </c>
    </row>
    <row r="15" spans="1:12" ht="13.9" customHeight="1" x14ac:dyDescent="0.3">
      <c r="A15" s="59" t="s">
        <v>31</v>
      </c>
      <c r="B15" s="60">
        <f>'Kalkulator 10_2020 - 12_2021'!B14</f>
        <v>1</v>
      </c>
      <c r="C15" s="61"/>
      <c r="D15" s="62"/>
      <c r="E15" s="66"/>
      <c r="F15" s="61"/>
      <c r="G15" s="230"/>
      <c r="H15" s="229"/>
      <c r="I15" s="61"/>
      <c r="J15" s="62" t="s">
        <v>49</v>
      </c>
      <c r="K15" s="69">
        <f>$B$7*50</f>
        <v>71000</v>
      </c>
    </row>
    <row r="16" spans="1:12" ht="13.9" customHeight="1" thickBot="1" x14ac:dyDescent="0.35">
      <c r="A16" s="59" t="s">
        <v>27</v>
      </c>
      <c r="B16" s="60" t="str">
        <f>'Kalkulator 10_2020 - 12_2021'!B15</f>
        <v>N</v>
      </c>
      <c r="C16" s="61"/>
      <c r="D16" s="62" t="s">
        <v>24</v>
      </c>
      <c r="E16" s="63">
        <f>'Kalkulator 10_2020 - 12_2021'!E15</f>
        <v>17</v>
      </c>
      <c r="F16" s="61"/>
      <c r="G16" s="230"/>
      <c r="H16" s="229"/>
      <c r="I16" s="61"/>
      <c r="J16" s="62" t="s">
        <v>18</v>
      </c>
      <c r="K16" s="72">
        <f>$B$7*200-'Kalkulator bis 9_2020'!K12</f>
        <v>71000</v>
      </c>
    </row>
    <row r="17" spans="1:11" ht="13.9" customHeight="1" thickBot="1" x14ac:dyDescent="0.35">
      <c r="A17" s="59" t="s">
        <v>32</v>
      </c>
      <c r="B17" s="73">
        <f>'Kalkulator 10_2020 - 12_2021'!B18</f>
        <v>120000</v>
      </c>
      <c r="C17" s="61"/>
      <c r="D17" s="62" t="s">
        <v>25</v>
      </c>
      <c r="E17" s="74">
        <f>'Kalkulator 10_2020 - 12_2021'!E16</f>
        <v>1</v>
      </c>
      <c r="F17" s="61"/>
      <c r="G17" s="230"/>
      <c r="H17" s="229"/>
      <c r="I17" s="61"/>
      <c r="J17" s="75" t="s">
        <v>36</v>
      </c>
      <c r="K17" s="76">
        <f>SUM(K7:K16)</f>
        <v>278793</v>
      </c>
    </row>
    <row r="18" spans="1:11" ht="21" customHeight="1" thickTop="1" thickBot="1" x14ac:dyDescent="0.35">
      <c r="A18" s="77"/>
      <c r="B18" s="78"/>
      <c r="C18" s="61"/>
      <c r="D18" s="79" t="s">
        <v>26</v>
      </c>
      <c r="E18" s="80">
        <f>'Kalkulator 10_2020 - 12_2021'!E17</f>
        <v>17</v>
      </c>
      <c r="F18" s="61"/>
      <c r="G18" s="231"/>
      <c r="H18" s="232"/>
      <c r="I18" s="61"/>
      <c r="J18" s="81"/>
      <c r="K18" s="82"/>
    </row>
    <row r="19" spans="1:11" ht="13.9" customHeight="1" thickBot="1" x14ac:dyDescent="0.35">
      <c r="A19" s="54"/>
      <c r="B19" s="54"/>
      <c r="C19" s="54"/>
      <c r="D19" s="54"/>
      <c r="E19" s="54"/>
      <c r="F19" s="54"/>
      <c r="G19" s="54"/>
      <c r="H19" s="54"/>
      <c r="I19" s="54"/>
      <c r="J19" s="54"/>
      <c r="K19" s="54"/>
    </row>
    <row r="20" spans="1:11" ht="15.5" x14ac:dyDescent="0.35">
      <c r="A20" s="83"/>
      <c r="B20" s="84"/>
      <c r="C20" s="84"/>
      <c r="D20" s="239"/>
      <c r="E20" s="239"/>
      <c r="F20" s="240"/>
      <c r="G20" s="240"/>
      <c r="H20" s="240"/>
      <c r="I20" s="239" t="s">
        <v>56</v>
      </c>
      <c r="J20" s="239" t="s">
        <v>50</v>
      </c>
      <c r="K20" s="85">
        <f>K17</f>
        <v>278793</v>
      </c>
    </row>
    <row r="21" spans="1:11" ht="16" thickBot="1" x14ac:dyDescent="0.4">
      <c r="A21" s="86"/>
      <c r="B21" s="241"/>
      <c r="C21" s="241"/>
      <c r="D21" s="241"/>
      <c r="E21" s="241"/>
      <c r="F21" s="242"/>
      <c r="G21" s="243"/>
      <c r="H21" s="243"/>
      <c r="I21" s="87"/>
      <c r="J21" s="88" t="s">
        <v>61</v>
      </c>
      <c r="K21" s="89">
        <f>K20/$B$17</f>
        <v>2.3232750000000002</v>
      </c>
    </row>
    <row r="23" spans="1:11" ht="29.5" customHeight="1" x14ac:dyDescent="0.3">
      <c r="I23" s="212"/>
      <c r="J23" s="212"/>
      <c r="K23" s="212"/>
    </row>
  </sheetData>
  <mergeCells count="16">
    <mergeCell ref="A4:K4"/>
    <mergeCell ref="D14:E14"/>
    <mergeCell ref="G14:H18"/>
    <mergeCell ref="I23:K23"/>
    <mergeCell ref="A1:K1"/>
    <mergeCell ref="A2:K2"/>
    <mergeCell ref="A5:B5"/>
    <mergeCell ref="D5:E5"/>
    <mergeCell ref="G5:H5"/>
    <mergeCell ref="J5:K5"/>
    <mergeCell ref="I20:J20"/>
    <mergeCell ref="D20:E20"/>
    <mergeCell ref="F20:H20"/>
    <mergeCell ref="B21:E21"/>
    <mergeCell ref="F21:H21"/>
    <mergeCell ref="A3:K3"/>
  </mergeCells>
  <conditionalFormatting sqref="B7:B10">
    <cfRule type="expression" dxfId="58" priority="28">
      <formula>OR(NOT(ISNUMBER(B7)),B7&lt;=0)</formula>
    </cfRule>
  </conditionalFormatting>
  <conditionalFormatting sqref="B12">
    <cfRule type="expression" dxfId="57" priority="7">
      <formula>OR(NOT(ISNUMBER(B12)),B12&lt;=0)</formula>
    </cfRule>
  </conditionalFormatting>
  <conditionalFormatting sqref="B13:B14">
    <cfRule type="expression" dxfId="56" priority="8">
      <formula>NOT(ISNUMBER(B13))</formula>
    </cfRule>
  </conditionalFormatting>
  <conditionalFormatting sqref="B15">
    <cfRule type="expression" dxfId="55" priority="10">
      <formula>OR(NOT(ISNUMBER(B15)),B15&lt;=0)</formula>
    </cfRule>
  </conditionalFormatting>
  <conditionalFormatting sqref="B16">
    <cfRule type="expression" dxfId="54" priority="11">
      <formula>AND(B16&lt;&gt;"J",B16&lt;&gt;"N")</formula>
    </cfRule>
  </conditionalFormatting>
  <conditionalFormatting sqref="B17">
    <cfRule type="expression" dxfId="53" priority="16">
      <formula>OR(NOT(ISNUMBER(B17)),B17&lt;=0)</formula>
    </cfRule>
  </conditionalFormatting>
  <pageMargins left="0.7" right="0.7" top="0.78740157499999996" bottom="0.78740157499999996" header="0.3" footer="0.3"/>
  <pageSetup paperSize="9" scale="86"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822CA29A-AD30-480F-8B3A-936BAC7E530F}">
            <xm:f>'Kalkulator 10_2020 - 12_2021'!$B$17="N"</xm:f>
            <x14:dxf>
              <font>
                <color theme="0" tint="-0.24994659260841701"/>
              </font>
            </x14:dxf>
          </x14:cfRule>
          <xm:sqref>K7:K17</xm:sqref>
        </x14:conditionalFormatting>
        <x14:conditionalFormatting xmlns:xm="http://schemas.microsoft.com/office/excel/2006/main">
          <x14:cfRule type="expression" priority="1" id="{1739CFFA-7848-432E-AD63-6440C7F6A3BB}">
            <xm:f>'Kalkulator 10_2020 - 12_2021'!$B$17="N"</xm:f>
            <x14:dxf>
              <font>
                <color theme="0" tint="-0.14996795556505021"/>
              </font>
            </x14:dxf>
          </x14:cfRule>
          <xm:sqref>K20:K21</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60B6D-67BB-4B5B-901D-7AEFF4A56D80}">
  <dimension ref="B1:G35"/>
  <sheetViews>
    <sheetView showGridLines="0" tabSelected="1" zoomScaleNormal="100" workbookViewId="0"/>
  </sheetViews>
  <sheetFormatPr baseColWidth="10" defaultRowHeight="14" x14ac:dyDescent="0.3"/>
  <cols>
    <col min="1" max="1" width="4.83203125" customWidth="1"/>
    <col min="2" max="2" width="33.08203125" customWidth="1"/>
    <col min="3" max="3" width="12" customWidth="1"/>
    <col min="4" max="4" width="20.9140625" customWidth="1"/>
    <col min="5" max="5" width="16.9140625" customWidth="1"/>
    <col min="6" max="6" width="16.75" customWidth="1"/>
  </cols>
  <sheetData>
    <row r="1" spans="2:6" ht="18.5" x14ac:dyDescent="0.45">
      <c r="B1" s="247" t="s">
        <v>64</v>
      </c>
      <c r="C1" s="247"/>
      <c r="D1" s="247"/>
      <c r="E1" s="247"/>
      <c r="F1" s="247"/>
    </row>
    <row r="2" spans="2:6" ht="14.5" x14ac:dyDescent="0.35">
      <c r="B2" s="248" t="s">
        <v>87</v>
      </c>
      <c r="C2" s="248"/>
      <c r="D2" s="248"/>
      <c r="E2" s="248"/>
      <c r="F2" s="248"/>
    </row>
    <row r="3" spans="2:6" ht="14.5" x14ac:dyDescent="0.35">
      <c r="B3" s="94"/>
      <c r="C3" s="94"/>
      <c r="D3" s="94"/>
      <c r="E3" s="94"/>
      <c r="F3" s="94"/>
    </row>
    <row r="4" spans="2:6" ht="14" customHeight="1" x14ac:dyDescent="0.3">
      <c r="B4" s="249" t="s">
        <v>101</v>
      </c>
      <c r="C4" s="249"/>
      <c r="D4" s="249"/>
      <c r="E4" s="249"/>
      <c r="F4" s="249"/>
    </row>
    <row r="5" spans="2:6" ht="14.5" x14ac:dyDescent="0.35">
      <c r="B5" s="95"/>
      <c r="C5" s="95"/>
      <c r="D5" s="96"/>
      <c r="E5" s="96"/>
      <c r="F5" s="96"/>
    </row>
    <row r="6" spans="2:6" ht="14.5" customHeight="1" x14ac:dyDescent="0.35">
      <c r="B6" s="97" t="s">
        <v>75</v>
      </c>
      <c r="C6" s="98">
        <v>45292</v>
      </c>
      <c r="D6" s="250" t="s">
        <v>110</v>
      </c>
      <c r="E6" s="251" t="str">
        <f>IF(OR(ISBLANK($C$6),ISBLANK($C$7)),"N/A",(YEAR($C$6)-YEAR($C$7))*12+MONTH($C$6)-MONTH($C$7))</f>
        <v>N/A</v>
      </c>
      <c r="F6" s="96"/>
    </row>
    <row r="7" spans="2:6" ht="14.5" x14ac:dyDescent="0.35">
      <c r="B7" s="99" t="s">
        <v>76</v>
      </c>
      <c r="C7" s="148"/>
      <c r="D7" s="250"/>
      <c r="E7" s="251"/>
      <c r="F7" s="96"/>
    </row>
    <row r="8" spans="2:6" ht="14.5" x14ac:dyDescent="0.35">
      <c r="B8" s="99"/>
      <c r="C8" s="96"/>
      <c r="D8" s="168"/>
      <c r="E8" s="167"/>
      <c r="F8" s="96"/>
    </row>
    <row r="9" spans="2:6" ht="14.5" x14ac:dyDescent="0.35">
      <c r="B9" s="101"/>
      <c r="C9" s="96"/>
      <c r="D9" s="96"/>
      <c r="E9" s="167" t="s">
        <v>83</v>
      </c>
      <c r="F9" s="167" t="s">
        <v>84</v>
      </c>
    </row>
    <row r="10" spans="2:6" ht="14.5" x14ac:dyDescent="0.3">
      <c r="B10" s="97"/>
      <c r="C10" s="102"/>
      <c r="D10" s="103" t="s">
        <v>82</v>
      </c>
      <c r="E10" s="105">
        <v>40000</v>
      </c>
      <c r="F10" s="105">
        <v>7000</v>
      </c>
    </row>
    <row r="11" spans="2:6" ht="14.5" x14ac:dyDescent="0.3">
      <c r="B11" s="97" t="s">
        <v>0</v>
      </c>
      <c r="C11" s="104"/>
      <c r="D11" s="103" t="s">
        <v>96</v>
      </c>
      <c r="E11" s="105">
        <v>168.6</v>
      </c>
      <c r="F11" s="105">
        <v>90.06</v>
      </c>
    </row>
    <row r="12" spans="2:6" ht="14.5" x14ac:dyDescent="0.3">
      <c r="B12" s="102"/>
      <c r="C12" s="102"/>
      <c r="D12" s="103" t="s">
        <v>97</v>
      </c>
      <c r="E12" s="105" t="str">
        <f>IF(OR(ISBLANK(E10),ISBLANK(E11),ISBLANK($C$11)),"N/A",E10+$C$11*E11)</f>
        <v>N/A</v>
      </c>
      <c r="F12" s="105" t="str">
        <f>IF(OR(ISBLANK(F10),ISBLANK(F11),ISBLANK($C$11)),"N/A",F10+$C$11*F11)</f>
        <v>N/A</v>
      </c>
    </row>
    <row r="13" spans="2:6" ht="14.5" x14ac:dyDescent="0.35">
      <c r="B13" s="106"/>
      <c r="C13" s="96"/>
      <c r="D13" s="103" t="s">
        <v>93</v>
      </c>
      <c r="E13" s="105" t="str">
        <f>IF(E12="N/A","N/A",E12/12)</f>
        <v>N/A</v>
      </c>
      <c r="F13" s="105" t="str">
        <f>IF(F12="N/A","N/A",F12/12)</f>
        <v>N/A</v>
      </c>
    </row>
    <row r="14" spans="2:6" ht="6" customHeight="1" x14ac:dyDescent="0.35">
      <c r="B14" s="106"/>
      <c r="C14" s="96"/>
      <c r="D14" s="103"/>
      <c r="E14" s="105"/>
      <c r="F14" s="105"/>
    </row>
    <row r="15" spans="2:6" ht="14.5" x14ac:dyDescent="0.35">
      <c r="B15" s="106"/>
      <c r="C15" s="96"/>
      <c r="D15" s="107" t="s">
        <v>95</v>
      </c>
      <c r="E15" s="146" t="str">
        <f>IF(F15="N/A","N/A",IF(E6&lt;=0,MAX(E6+12,0),12-F15))</f>
        <v>N/A</v>
      </c>
      <c r="F15" s="146" t="str">
        <f>IF(E6="N/A","N/A",IF(OR(E6&gt;30,E6&lt;=0),0,IF(E6&gt;18,30-E6,IF(E6&gt;0,12,0))))</f>
        <v>N/A</v>
      </c>
    </row>
    <row r="16" spans="2:6" ht="14.5" x14ac:dyDescent="0.35">
      <c r="B16" s="108"/>
      <c r="C16" s="96"/>
      <c r="D16" s="170"/>
      <c r="E16" s="167"/>
      <c r="F16" s="172"/>
    </row>
    <row r="17" spans="2:7" ht="45" customHeight="1" x14ac:dyDescent="0.3">
      <c r="B17" s="252" t="s">
        <v>99</v>
      </c>
      <c r="C17" s="252"/>
      <c r="D17" s="252"/>
      <c r="E17" s="253" t="str">
        <f>IF(COUNTIF(E13:F15,"N/A")&gt;0,"N/A",E15*E13+F15*F13)</f>
        <v>N/A</v>
      </c>
      <c r="F17" s="253"/>
    </row>
    <row r="18" spans="2:7" ht="14.5" x14ac:dyDescent="0.3">
      <c r="B18" s="112"/>
      <c r="C18" s="113"/>
      <c r="D18" s="113"/>
      <c r="E18" s="113"/>
      <c r="F18" s="114"/>
    </row>
    <row r="19" spans="2:7" ht="14.5" x14ac:dyDescent="0.3">
      <c r="B19" s="245" t="s">
        <v>115</v>
      </c>
      <c r="C19" s="245"/>
      <c r="D19" s="245"/>
      <c r="E19" s="245"/>
      <c r="F19" s="245"/>
    </row>
    <row r="20" spans="2:7" ht="14.5" x14ac:dyDescent="0.35">
      <c r="B20" s="108"/>
      <c r="C20" s="96"/>
      <c r="D20" s="168"/>
      <c r="E20" s="167"/>
      <c r="F20" s="96"/>
    </row>
    <row r="21" spans="2:7" ht="14.5" x14ac:dyDescent="0.3">
      <c r="B21" s="139" t="s">
        <v>100</v>
      </c>
      <c r="C21" s="111"/>
      <c r="D21" s="111"/>
      <c r="E21" s="111"/>
      <c r="F21" s="116" t="str">
        <f>E17</f>
        <v>N/A</v>
      </c>
    </row>
    <row r="22" spans="2:7" ht="14.5" x14ac:dyDescent="0.3">
      <c r="B22" s="150" t="s">
        <v>107</v>
      </c>
      <c r="C22" s="111"/>
      <c r="D22" s="111"/>
      <c r="E22" s="111"/>
      <c r="F22" s="117">
        <v>0</v>
      </c>
    </row>
    <row r="23" spans="2:7" ht="14.5" x14ac:dyDescent="0.3">
      <c r="B23" s="115"/>
      <c r="C23" s="111"/>
      <c r="D23" s="111"/>
      <c r="E23" s="111"/>
      <c r="F23" s="116"/>
    </row>
    <row r="24" spans="2:7" ht="14.5" x14ac:dyDescent="0.3">
      <c r="B24" s="115" t="s">
        <v>116</v>
      </c>
      <c r="C24" s="111"/>
      <c r="D24" s="111"/>
      <c r="E24" s="111"/>
      <c r="F24" s="118" t="str">
        <f>IF(F21="N/A","N/A",F21+F22)</f>
        <v>N/A</v>
      </c>
      <c r="G24" s="151"/>
    </row>
    <row r="25" spans="2:7" ht="14.5" x14ac:dyDescent="0.3">
      <c r="B25" s="115"/>
      <c r="C25" s="111"/>
      <c r="D25" s="111"/>
      <c r="E25" s="111"/>
      <c r="F25" s="116"/>
    </row>
    <row r="26" spans="2:7" ht="14.5" x14ac:dyDescent="0.35">
      <c r="B26" s="97" t="s">
        <v>32</v>
      </c>
      <c r="C26" s="96"/>
      <c r="D26" s="111"/>
      <c r="E26" s="96"/>
      <c r="F26" s="119"/>
    </row>
    <row r="27" spans="2:7" ht="14.5" x14ac:dyDescent="0.35">
      <c r="B27" s="108"/>
      <c r="C27" s="96"/>
      <c r="D27" s="168"/>
      <c r="E27" s="167"/>
      <c r="F27" s="96"/>
    </row>
    <row r="28" spans="2:7" ht="45" customHeight="1" x14ac:dyDescent="0.3">
      <c r="B28" s="246" t="s">
        <v>113</v>
      </c>
      <c r="C28" s="246"/>
      <c r="D28" s="246"/>
      <c r="E28" s="246"/>
      <c r="F28" s="137" t="str">
        <f>IF(OR(F24="N/A",F26=""),"N/A",ROUND(F24/F26,2))</f>
        <v>N/A</v>
      </c>
    </row>
    <row r="33" spans="2:3" x14ac:dyDescent="0.3">
      <c r="B33" s="151"/>
    </row>
    <row r="34" spans="2:3" x14ac:dyDescent="0.3">
      <c r="B34" s="151"/>
    </row>
    <row r="35" spans="2:3" x14ac:dyDescent="0.3">
      <c r="C35" s="151"/>
    </row>
  </sheetData>
  <mergeCells count="9">
    <mergeCell ref="B19:F19"/>
    <mergeCell ref="B28:E28"/>
    <mergeCell ref="B1:F1"/>
    <mergeCell ref="B2:F2"/>
    <mergeCell ref="B4:F4"/>
    <mergeCell ref="D6:D7"/>
    <mergeCell ref="E6:E7"/>
    <mergeCell ref="B17:D17"/>
    <mergeCell ref="E17:F17"/>
  </mergeCells>
  <conditionalFormatting sqref="E15">
    <cfRule type="expression" dxfId="50" priority="1">
      <formula>AND(OR(XEH6="Ja", XEH6="Irrelevant"), OR(XEH7="Ja", XEH7="Irrelevant"), OR(XEH8="Ja", XEH8="Irrelevant"))</formula>
    </cfRule>
  </conditionalFormatting>
  <conditionalFormatting sqref="F15">
    <cfRule type="expression" dxfId="49" priority="2">
      <formula>AND(OR(A6="Ja", A6="Irrelevant"), OR(A7="Ja", A7="Irrelevant"), OR(A8="Ja", A8="Irrelevant"))</formula>
    </cfRule>
  </conditionalFormatting>
  <dataValidations count="2">
    <dataValidation type="date" operator="greaterThan" allowBlank="1" showInputMessage="1" showErrorMessage="1" sqref="C7" xr:uid="{35DBF333-B2C1-48EB-AFD7-2DD73A19702F}">
      <formula1>1</formula1>
    </dataValidation>
    <dataValidation type="whole" operator="greaterThan" allowBlank="1" showInputMessage="1" showErrorMessage="1" sqref="C11" xr:uid="{44E94260-8C11-498B-8168-CB3CF3881EC3}">
      <formula1>0</formula1>
    </dataValidation>
  </dataValidations>
  <pageMargins left="0.7" right="0.7" top="0.78740157499999996" bottom="0.78740157499999996" header="0.3" footer="0.3"/>
  <pageSetup paperSize="9" orientation="portrait" verticalDpi="30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7560B-C33C-490E-BAFB-FA76680F4E55}">
  <dimension ref="B1:H46"/>
  <sheetViews>
    <sheetView showGridLines="0" zoomScaleNormal="100" workbookViewId="0"/>
  </sheetViews>
  <sheetFormatPr baseColWidth="10" defaultRowHeight="14" x14ac:dyDescent="0.3"/>
  <cols>
    <col min="1" max="1" width="4.83203125" customWidth="1"/>
    <col min="2" max="2" width="33.08203125" customWidth="1"/>
    <col min="3" max="3" width="12" customWidth="1"/>
    <col min="4" max="4" width="20.9140625" customWidth="1"/>
    <col min="5" max="5" width="16.9140625" customWidth="1"/>
    <col min="6" max="6" width="16.75" customWidth="1"/>
    <col min="7" max="7" width="11.4140625" bestFit="1" customWidth="1"/>
  </cols>
  <sheetData>
    <row r="1" spans="2:6" ht="18.5" x14ac:dyDescent="0.45">
      <c r="B1" s="247" t="s">
        <v>64</v>
      </c>
      <c r="C1" s="247"/>
      <c r="D1" s="247"/>
      <c r="E1" s="247"/>
      <c r="F1" s="247"/>
    </row>
    <row r="2" spans="2:6" ht="14.5" x14ac:dyDescent="0.35">
      <c r="B2" s="254" t="s">
        <v>109</v>
      </c>
      <c r="C2" s="248"/>
      <c r="D2" s="248"/>
      <c r="E2" s="248"/>
      <c r="F2" s="248"/>
    </row>
    <row r="3" spans="2:6" ht="14.5" x14ac:dyDescent="0.35">
      <c r="B3" s="94"/>
      <c r="C3" s="94"/>
      <c r="D3" s="94"/>
      <c r="E3" s="94"/>
      <c r="F3" s="94"/>
    </row>
    <row r="4" spans="2:6" ht="14" customHeight="1" x14ac:dyDescent="0.3">
      <c r="B4" s="249" t="s">
        <v>101</v>
      </c>
      <c r="C4" s="249"/>
      <c r="D4" s="249"/>
      <c r="E4" s="249"/>
      <c r="F4" s="249"/>
    </row>
    <row r="5" spans="2:6" ht="14.5" x14ac:dyDescent="0.35">
      <c r="B5" s="95"/>
      <c r="C5" s="95"/>
      <c r="D5" s="96"/>
      <c r="E5" s="96"/>
      <c r="F5" s="96"/>
    </row>
    <row r="6" spans="2:6" ht="14.5" x14ac:dyDescent="0.35">
      <c r="B6" s="155" t="s">
        <v>117</v>
      </c>
      <c r="C6" s="156">
        <v>4.41E-2</v>
      </c>
      <c r="D6" s="143" t="s">
        <v>105</v>
      </c>
      <c r="E6" s="144">
        <f>IF(ISBLANK(C6),"N/A",100%+C6)</f>
        <v>1.0441</v>
      </c>
      <c r="F6" s="96"/>
    </row>
    <row r="7" spans="2:6" ht="14.5" x14ac:dyDescent="0.35">
      <c r="B7" s="99"/>
      <c r="C7" s="96"/>
      <c r="D7" s="168"/>
      <c r="E7" s="167"/>
      <c r="F7" s="96"/>
    </row>
    <row r="8" spans="2:6" ht="14.5" x14ac:dyDescent="0.35">
      <c r="B8" s="97" t="s">
        <v>75</v>
      </c>
      <c r="C8" s="98">
        <v>45658</v>
      </c>
      <c r="D8" s="255" t="s">
        <v>110</v>
      </c>
      <c r="E8" s="251" t="str">
        <f>IF(OR(ISBLANK($C$8),ISBLANK($C$9)),"N/A",(YEAR($C$8)-YEAR($C$9))*12+MONTH($C$8)-MONTH($C$9))</f>
        <v>N/A</v>
      </c>
      <c r="F8" s="96"/>
    </row>
    <row r="9" spans="2:6" ht="14.5" x14ac:dyDescent="0.35">
      <c r="B9" s="99" t="s">
        <v>76</v>
      </c>
      <c r="C9" s="148"/>
      <c r="D9" s="256"/>
      <c r="E9" s="251"/>
      <c r="F9" s="96"/>
    </row>
    <row r="10" spans="2:6" ht="14.5" x14ac:dyDescent="0.35">
      <c r="B10" s="99"/>
      <c r="C10" s="96"/>
      <c r="D10" s="168"/>
      <c r="E10" s="167"/>
      <c r="F10" s="96"/>
    </row>
    <row r="11" spans="2:6" ht="14.5" x14ac:dyDescent="0.35">
      <c r="B11" s="142"/>
      <c r="C11" s="142"/>
      <c r="D11" s="96"/>
      <c r="E11" s="167" t="s">
        <v>83</v>
      </c>
      <c r="F11" s="167" t="s">
        <v>84</v>
      </c>
    </row>
    <row r="12" spans="2:6" ht="14.5" x14ac:dyDescent="0.3">
      <c r="B12" s="97"/>
      <c r="C12" s="102"/>
      <c r="D12" s="141" t="s">
        <v>82</v>
      </c>
      <c r="E12" s="105">
        <f>IF(E6="N/A","N/A",40000*$E$6)</f>
        <v>41764</v>
      </c>
      <c r="F12" s="105">
        <f>IF(E6="N/A","N/A",7000*$E$6)</f>
        <v>7308.7</v>
      </c>
    </row>
    <row r="13" spans="2:6" ht="14.5" x14ac:dyDescent="0.3">
      <c r="B13" s="97" t="s">
        <v>0</v>
      </c>
      <c r="C13" s="104"/>
      <c r="D13" s="141" t="s">
        <v>96</v>
      </c>
      <c r="E13" s="105">
        <f>IF(E6="N/A","N/A",168.6*$E$6)</f>
        <v>176.03525999999999</v>
      </c>
      <c r="F13" s="105">
        <f>IF(E6="N/A","N/A",90.06*$E$6)</f>
        <v>94.031646000000009</v>
      </c>
    </row>
    <row r="14" spans="2:6" ht="14.5" x14ac:dyDescent="0.35">
      <c r="B14" s="106"/>
      <c r="C14" s="96"/>
      <c r="D14" s="103" t="s">
        <v>97</v>
      </c>
      <c r="E14" s="105" t="str">
        <f>IF(OR(ISBLANK($C$13),E6="N/A"),"N/A",E12+$C$13*E13)</f>
        <v>N/A</v>
      </c>
      <c r="F14" s="105" t="str">
        <f>IF(OR(ISBLANK($C$13),E6="N/A"),"N/A",F12+$C$13*F13)</f>
        <v>N/A</v>
      </c>
    </row>
    <row r="15" spans="2:6" ht="14.5" x14ac:dyDescent="0.35">
      <c r="B15" s="106"/>
      <c r="C15" s="96"/>
      <c r="D15" s="103" t="s">
        <v>93</v>
      </c>
      <c r="E15" s="105" t="str">
        <f>IF(E14="N/A","N/A",E14/12)</f>
        <v>N/A</v>
      </c>
      <c r="F15" s="105" t="str">
        <f>IF(F14="N/A","N/A",F14/12)</f>
        <v>N/A</v>
      </c>
    </row>
    <row r="16" spans="2:6" ht="6" customHeight="1" x14ac:dyDescent="0.35">
      <c r="B16" s="106"/>
      <c r="C16" s="96"/>
      <c r="D16" s="103"/>
      <c r="E16" s="105"/>
      <c r="F16" s="105"/>
    </row>
    <row r="17" spans="2:8" ht="14.5" x14ac:dyDescent="0.35">
      <c r="B17" s="106"/>
      <c r="C17" s="96"/>
      <c r="D17" s="107" t="s">
        <v>95</v>
      </c>
      <c r="E17" s="146" t="str">
        <f>IF(F17="N/A","N/A",IF(E8&lt;0,0,12-F17))</f>
        <v>N/A</v>
      </c>
      <c r="F17" s="146" t="str">
        <f>IF(E8="N/A","N/A",IF(OR(C9&lt;DATE(2021,1,1),C9&gt;DATE(2023,12,31)),0,IF(E8&gt;=30,0,IF(E8&gt;18,30-E8,12))))</f>
        <v>N/A</v>
      </c>
    </row>
    <row r="18" spans="2:8" ht="14.5" x14ac:dyDescent="0.35">
      <c r="B18" s="108"/>
      <c r="C18" s="96"/>
      <c r="D18" s="168"/>
      <c r="E18" s="167"/>
      <c r="F18" s="173"/>
    </row>
    <row r="19" spans="2:8" ht="45" customHeight="1" x14ac:dyDescent="0.3">
      <c r="B19" s="252" t="s">
        <v>99</v>
      </c>
      <c r="C19" s="252"/>
      <c r="D19" s="252"/>
      <c r="E19" s="253" t="str">
        <f>IF(COUNTIF(E15:F17,"N/A")&gt;0,"N/A",E17*E15+F17*F15)</f>
        <v>N/A</v>
      </c>
      <c r="F19" s="253"/>
    </row>
    <row r="20" spans="2:8" s="93" customFormat="1" ht="14.5" x14ac:dyDescent="0.35">
      <c r="B20" s="109"/>
      <c r="C20" s="110"/>
      <c r="D20" s="110"/>
      <c r="E20" s="110"/>
      <c r="F20" s="110"/>
    </row>
    <row r="21" spans="2:8" ht="14" customHeight="1" x14ac:dyDescent="0.3">
      <c r="B21" s="245" t="s">
        <v>102</v>
      </c>
      <c r="C21" s="245"/>
      <c r="D21" s="245"/>
      <c r="E21" s="245"/>
      <c r="F21" s="245"/>
    </row>
    <row r="22" spans="2:8" ht="14.5" x14ac:dyDescent="0.35">
      <c r="B22" s="122"/>
      <c r="C22" s="120"/>
      <c r="D22" s="168"/>
      <c r="E22" s="121"/>
      <c r="F22" s="96"/>
    </row>
    <row r="23" spans="2:8" ht="62" customHeight="1" x14ac:dyDescent="0.3">
      <c r="B23" s="257" t="s">
        <v>85</v>
      </c>
      <c r="C23" s="258"/>
      <c r="D23" s="133" t="s">
        <v>98</v>
      </c>
      <c r="E23" s="149" t="s">
        <v>111</v>
      </c>
      <c r="F23" s="127" t="s">
        <v>91</v>
      </c>
    </row>
    <row r="24" spans="2:8" ht="14.5" x14ac:dyDescent="0.3">
      <c r="B24" s="123" t="s">
        <v>78</v>
      </c>
      <c r="C24" s="125"/>
      <c r="D24" s="134"/>
      <c r="E24" s="131"/>
      <c r="F24" s="135" t="str">
        <f>IF(OR(AND(ISBLANK(D24),E24&lt;&gt;""),AND(D24="Ja",ISBLANK(E24)),AND(C24="Irrelevant",OR(D24&lt;&gt;"",E24&lt;&gt;"")),C24="",AND(C24="Ja",D24="Ja"),AND(E24&lt;&gt;"",E24&lt;$C$9),AND(C24="Nein",D24=""),AND(C24="Ja",$C$9&gt;$C$8),$C$9=""),"N/A",IF(OR(C24="Ja",C24="Irrelevant"),0,IF(AND(C24="Nein",D24="Nein",$E$29+$F$29&gt;0,$E$29+$F$29&lt;12),13-MONTH($C$9),IF($E$29+$F$29=0,12,IF($E$29+$F$29&lt;12,MONTH(E24)-13+$F$29,IF(D24="Ja",MONTH(E24)-1,12))))))</f>
        <v>N/A</v>
      </c>
      <c r="G24" s="151"/>
      <c r="H24" s="152"/>
    </row>
    <row r="25" spans="2:8" ht="14.5" x14ac:dyDescent="0.3">
      <c r="B25" s="97" t="s">
        <v>79</v>
      </c>
      <c r="C25" s="132"/>
      <c r="D25" s="134"/>
      <c r="E25" s="131"/>
      <c r="F25" s="135" t="str">
        <f>IF(OR(AND(ISBLANK(D25),E25&lt;&gt;""),AND(D25="Ja",ISBLANK(E25)),AND(C25="Irrelevant",OR(D25&lt;&gt;"",E25&lt;&gt;"")),C25="",AND(C25="Ja",D25="Ja"),AND(E25&lt;&gt;"",E25&lt;$C$9),AND(C25="Nein",D25=""),AND(C25="Ja",$C$9&gt;$C$8),$C$9=""),"N/A",IF(OR(C25="Ja",C25="Irrelevant"),0,IF(AND(C25="Nein",D25="Nein",$E$29+$F$29&gt;0,$E$29+$F$29&lt;12),13-MONTH($C$9),IF($E$29+$F$29=0,12,IF($E$29+$F$29&lt;12,MONTH(E25)-13+$F$29,IF(D25="Ja",MONTH(E25)-1,12))))))</f>
        <v>N/A</v>
      </c>
    </row>
    <row r="26" spans="2:8" ht="14.5" x14ac:dyDescent="0.3">
      <c r="B26" s="123" t="s">
        <v>80</v>
      </c>
      <c r="C26" s="132"/>
      <c r="D26" s="130"/>
      <c r="E26" s="131"/>
      <c r="F26" s="135" t="str">
        <f>IF(OR(AND(ISBLANK(D26),E26&lt;&gt;""),AND(D26="Ja",ISBLANK(E26)),AND(C26="Irrelevant",OR(D26&lt;&gt;"",E26&lt;&gt;"")),C26="",AND(C26="Ja",D26="Ja"),AND(E26&lt;&gt;"",E26&lt;$C$9),AND(C26="Nein",D26=""),AND(C26="Ja",$C$9&gt;$C$8),$C$9=""),"N/A",IF(OR(C26="Ja",C26="Irrelevant"),0,IF(AND(C26="Nein",D26="Nein",$E$29+$F$29&gt;0,$E$29+$F$29&lt;12),13-MONTH($C$9),IF($E$29+$F$29=0,12,IF($E$29+$F$29&lt;12,MONTH(E26)-13+$F$29,IF(D26="Ja",MONTH(E26)-1,12))))))</f>
        <v>N/A</v>
      </c>
    </row>
    <row r="27" spans="2:8" ht="14.5" x14ac:dyDescent="0.35">
      <c r="B27" s="108"/>
      <c r="C27" s="96"/>
      <c r="D27" s="136"/>
      <c r="E27" s="126"/>
      <c r="F27" s="124"/>
    </row>
    <row r="28" spans="2:8" ht="14.5" x14ac:dyDescent="0.35">
      <c r="B28" s="108"/>
      <c r="C28" s="96"/>
      <c r="D28" s="168"/>
      <c r="E28" s="145" t="s">
        <v>83</v>
      </c>
      <c r="F28" s="154" t="s">
        <v>84</v>
      </c>
    </row>
    <row r="29" spans="2:8" ht="14.5" x14ac:dyDescent="0.3">
      <c r="B29" s="259" t="s">
        <v>106</v>
      </c>
      <c r="C29" s="259"/>
      <c r="D29" s="259"/>
      <c r="E29" s="146" t="str">
        <f>IF(E8="N/A","N/A",IF(OR(C9&lt;DATE(2021,1,1),C9&gt;DATE(2023,12,31)),MIN(12,MAX(0,E8)),MIN(MAX(E8-30,0),12)))</f>
        <v>N/A</v>
      </c>
      <c r="F29" s="146" t="str">
        <f>IF(E29="N/A","N/A",IF(OR(C9&lt;DATE(2021,1,1),C9&gt;DATE(2023,12,31)),0,IF(E8&lt;0,0,IF(E8&lt;12,E8,12-E29))))</f>
        <v>N/A</v>
      </c>
      <c r="G29" s="151"/>
    </row>
    <row r="30" spans="2:8" ht="14.5" x14ac:dyDescent="0.3">
      <c r="B30" s="97" t="s">
        <v>88</v>
      </c>
      <c r="C30" s="111"/>
      <c r="D30" s="111"/>
      <c r="E30" s="146" t="str">
        <f>IF(OR($E$29="N/A",COUNTIF(F24:F26,"N/A")&gt;0),"N/A",MIN(12-LARGE(F24:F26,1),E29))</f>
        <v>N/A</v>
      </c>
      <c r="F30" s="146" t="str">
        <f>IF(OR(F29="N/A",F31="N/A",F32="N/A"),"N/A",F29-F31-F32)</f>
        <v>N/A</v>
      </c>
    </row>
    <row r="31" spans="2:8" ht="14.5" x14ac:dyDescent="0.3">
      <c r="B31" s="97" t="s">
        <v>89</v>
      </c>
      <c r="C31" s="111"/>
      <c r="D31" s="111"/>
      <c r="E31" s="146" t="str">
        <f>IF(OR(F31="N/A",COUNTIF(F24:F26,"N/A")&gt;0),"N/A",IF(E29+F29&lt;12,0,LARGE(F24:F26,1)-LARGE(F24:F26,2)-F31))</f>
        <v>N/A</v>
      </c>
      <c r="F31" s="146" t="str">
        <f>IF(OR(F29="N/A",F32="N/A",COUNTIF(F24:F26,"N/A")&gt;0),"N/A",MIN(LARGE(F24:F26,1)-LARGE(F24:F26,2),F29-F32))</f>
        <v>N/A</v>
      </c>
    </row>
    <row r="32" spans="2:8" ht="14.5" x14ac:dyDescent="0.3">
      <c r="B32" s="97" t="s">
        <v>90</v>
      </c>
      <c r="C32" s="111"/>
      <c r="D32" s="111"/>
      <c r="E32" s="146" t="str">
        <f>IF(COUNTIF(E29:E31,"N/A")&gt;0,"N/A",E29-E30-E31)</f>
        <v>N/A</v>
      </c>
      <c r="F32" s="146" t="str">
        <f>IF(OR(F29="N/A",COUNTIF(F24:F26,"N/A")&gt;0),"N/A",MIN(LARGE(F24:F26,2),F29))</f>
        <v>N/A</v>
      </c>
    </row>
    <row r="33" spans="2:7" ht="14.5" x14ac:dyDescent="0.35">
      <c r="B33" s="99"/>
      <c r="C33" s="96"/>
      <c r="D33" s="168"/>
      <c r="E33" s="167"/>
      <c r="F33" s="96"/>
    </row>
    <row r="34" spans="2:7" ht="45" customHeight="1" x14ac:dyDescent="0.3">
      <c r="B34" s="252" t="s">
        <v>94</v>
      </c>
      <c r="C34" s="252"/>
      <c r="D34" s="252"/>
      <c r="E34" s="252"/>
      <c r="F34" s="138" t="str">
        <f>IF(OR(E6="N/A",F32="N/A",'Kalkulator für 2024'!F13="N/A",E32="N/A",'Kalkulator für 2024'!E13="N/A",F31="N/A",E31="N/A"),"N/A",(F32*'Kalkulator für 2024'!F13+E32*'Kalkulator für 2024'!E13)+(F31*'Kalkulator für 2024'!F13+E31*'Kalkulator für 2024'!E13)*0.5)</f>
        <v>N/A</v>
      </c>
      <c r="G34" s="153"/>
    </row>
    <row r="35" spans="2:7" ht="14.5" x14ac:dyDescent="0.3">
      <c r="B35" s="112"/>
      <c r="C35" s="113"/>
      <c r="D35" s="113"/>
      <c r="E35" s="113"/>
      <c r="F35" s="114"/>
    </row>
    <row r="36" spans="2:7" ht="14.5" x14ac:dyDescent="0.3">
      <c r="B36" s="245" t="s">
        <v>104</v>
      </c>
      <c r="C36" s="245"/>
      <c r="D36" s="245"/>
      <c r="E36" s="245"/>
      <c r="F36" s="245"/>
    </row>
    <row r="37" spans="2:7" ht="14.5" x14ac:dyDescent="0.35">
      <c r="B37" s="108"/>
      <c r="C37" s="96"/>
      <c r="D37" s="168"/>
      <c r="E37" s="167"/>
      <c r="F37" s="96"/>
    </row>
    <row r="38" spans="2:7" ht="14.5" x14ac:dyDescent="0.3">
      <c r="B38" s="139" t="s">
        <v>100</v>
      </c>
      <c r="C38" s="111"/>
      <c r="D38" s="111"/>
      <c r="E38" s="111"/>
      <c r="F38" s="116" t="str">
        <f>E19</f>
        <v>N/A</v>
      </c>
    </row>
    <row r="39" spans="2:7" ht="14.5" x14ac:dyDescent="0.3">
      <c r="B39" s="97" t="s">
        <v>92</v>
      </c>
      <c r="C39" s="111"/>
      <c r="D39" s="111"/>
      <c r="E39" s="111"/>
      <c r="F39" s="116" t="str">
        <f>IF(F34="N/A","N/A",F34*-1)</f>
        <v>N/A</v>
      </c>
    </row>
    <row r="40" spans="2:7" ht="14.5" x14ac:dyDescent="0.3">
      <c r="B40" s="150" t="s">
        <v>107</v>
      </c>
      <c r="C40" s="111"/>
      <c r="D40" s="111"/>
      <c r="E40" s="111"/>
      <c r="F40" s="117">
        <v>0</v>
      </c>
    </row>
    <row r="41" spans="2:7" ht="14.5" x14ac:dyDescent="0.3">
      <c r="B41" s="115"/>
      <c r="C41" s="111"/>
      <c r="D41" s="111"/>
      <c r="E41" s="111"/>
      <c r="F41" s="116"/>
    </row>
    <row r="42" spans="2:7" ht="14.5" x14ac:dyDescent="0.3">
      <c r="B42" s="115" t="s">
        <v>103</v>
      </c>
      <c r="C42" s="111"/>
      <c r="D42" s="111"/>
      <c r="E42" s="111"/>
      <c r="F42" s="118" t="str">
        <f>IF(COUNTIF(F38:F39,"N/A")&gt;0,"N/A",F38+F39+F40)</f>
        <v>N/A</v>
      </c>
    </row>
    <row r="43" spans="2:7" ht="14.5" x14ac:dyDescent="0.3">
      <c r="B43" s="115"/>
      <c r="C43" s="111"/>
      <c r="D43" s="111"/>
      <c r="E43" s="111"/>
      <c r="F43" s="116"/>
    </row>
    <row r="44" spans="2:7" ht="14.5" x14ac:dyDescent="0.35">
      <c r="B44" s="97" t="s">
        <v>32</v>
      </c>
      <c r="C44" s="96"/>
      <c r="D44" s="111"/>
      <c r="E44" s="96"/>
      <c r="F44" s="119"/>
    </row>
    <row r="45" spans="2:7" ht="14.5" x14ac:dyDescent="0.35">
      <c r="B45" s="108"/>
      <c r="C45" s="96"/>
      <c r="D45" s="168"/>
      <c r="E45" s="167"/>
      <c r="F45" s="96"/>
    </row>
    <row r="46" spans="2:7" ht="45" customHeight="1" x14ac:dyDescent="0.3">
      <c r="B46" s="246" t="s">
        <v>114</v>
      </c>
      <c r="C46" s="246"/>
      <c r="D46" s="246"/>
      <c r="E46" s="246"/>
      <c r="F46" s="137" t="str">
        <f>IF(OR(F42="N/A",F44=""),"N/A",ROUND(F42/F44,2))</f>
        <v>N/A</v>
      </c>
    </row>
  </sheetData>
  <mergeCells count="13">
    <mergeCell ref="B46:E46"/>
    <mergeCell ref="B1:F1"/>
    <mergeCell ref="B2:F2"/>
    <mergeCell ref="B4:F4"/>
    <mergeCell ref="D8:D9"/>
    <mergeCell ref="E8:E9"/>
    <mergeCell ref="B19:D19"/>
    <mergeCell ref="E19:F19"/>
    <mergeCell ref="B21:F21"/>
    <mergeCell ref="B23:C23"/>
    <mergeCell ref="B29:D29"/>
    <mergeCell ref="B34:E34"/>
    <mergeCell ref="B36:F36"/>
  </mergeCells>
  <conditionalFormatting sqref="B30:D32">
    <cfRule type="expression" dxfId="48" priority="2">
      <formula>AND(OR(XED21="Ja", XED21="Irrelevant"), OR(XED22="Ja", XED22="Irrelevant"), OR(XED23="Ja", XED23="Irrelevant"))</formula>
    </cfRule>
  </conditionalFormatting>
  <conditionalFormatting sqref="B33:F33">
    <cfRule type="expression" dxfId="47" priority="9">
      <formula>AND(OR(XED26="Ja", XED26="Irrelevant"), OR(XED27="Ja", XED27="Irrelevant"), OR(XED30="Ja", XED30="Irrelevant"))</formula>
    </cfRule>
  </conditionalFormatting>
  <conditionalFormatting sqref="B34:F34">
    <cfRule type="expression" dxfId="46" priority="10">
      <formula>AND(OR(XED31="Ja", XED31="Irrelevant"), OR(XED32="Ja", XED32="Irrelevant"), OR(#REF!="Ja", #REF!="Irrelevant"))</formula>
    </cfRule>
  </conditionalFormatting>
  <conditionalFormatting sqref="D24">
    <cfRule type="expression" dxfId="45" priority="8">
      <formula>OR($C$24="Ja",$C$24="",$C$24="Irrelevant")</formula>
    </cfRule>
  </conditionalFormatting>
  <conditionalFormatting sqref="D25">
    <cfRule type="expression" dxfId="44" priority="7">
      <formula>OR($C$25="Ja",$C$25="",$C$25="Irrelevant")</formula>
    </cfRule>
  </conditionalFormatting>
  <conditionalFormatting sqref="D26">
    <cfRule type="expression" dxfId="43" priority="6">
      <formula>OR($C$26="Ja",$C$26="",$C$26="Irrelevant")</formula>
    </cfRule>
  </conditionalFormatting>
  <conditionalFormatting sqref="E17 E29:E32">
    <cfRule type="expression" dxfId="42" priority="11">
      <formula>AND(OR(XEH8="Ja", XEH8="Irrelevant"), OR(XEH9="Ja", XEH9="Irrelevant"), OR(XEH10="Ja", XEH10="Irrelevant"))</formula>
    </cfRule>
  </conditionalFormatting>
  <conditionalFormatting sqref="E24">
    <cfRule type="expression" dxfId="41" priority="5">
      <formula>OR($D$24&lt;&gt;"Ja",$C$24="",AND($C$24="Ja",$D$24="Ja"),$C$24="Irrelevant")</formula>
    </cfRule>
  </conditionalFormatting>
  <conditionalFormatting sqref="E25">
    <cfRule type="expression" dxfId="40" priority="4">
      <formula>OR($D$25&lt;&gt;"Ja",$C$25="",AND($C$25="Ja",$D$25="Ja"),$C$25="Irrelevant")</formula>
    </cfRule>
  </conditionalFormatting>
  <conditionalFormatting sqref="E26">
    <cfRule type="expression" dxfId="39" priority="3">
      <formula>OR($D$26&lt;&gt;"Ja",$C$26="",AND($C$26="Ja",$D$26="Ja"),$C$26="Irrelevant")</formula>
    </cfRule>
  </conditionalFormatting>
  <conditionalFormatting sqref="F17 F29:F32">
    <cfRule type="expression" dxfId="38" priority="1">
      <formula>AND(OR(A8="Ja", A8="Irrelevant"), OR(A9="Ja", A9="Irrelevant"), OR(A10="Ja", A10="Irrelevant"))</formula>
    </cfRule>
  </conditionalFormatting>
  <dataValidations count="5">
    <dataValidation type="date" operator="greaterThan" allowBlank="1" showInputMessage="1" showErrorMessage="1" sqref="C9" xr:uid="{C43D8929-0B4C-4BFB-A351-B49BEA48B5EE}">
      <formula1>1</formula1>
    </dataValidation>
    <dataValidation type="list" allowBlank="1" showInputMessage="1" showErrorMessage="1" sqref="C24:C26" xr:uid="{4D4DD3ED-174A-409D-81F8-13976DC16130}">
      <formula1>"Ja,Nein,Irrelevant"</formula1>
    </dataValidation>
    <dataValidation type="date" allowBlank="1" showInputMessage="1" showErrorMessage="1" errorTitle="Ungültige Eingabe" error="Datum muss zwischen dem 1.1.2024 und 31.12.2024 liegen." sqref="E24:E26" xr:uid="{03C72551-0288-4BC8-B50E-1C007C425C61}">
      <formula1>45292</formula1>
      <formula2>45657</formula2>
    </dataValidation>
    <dataValidation type="list" allowBlank="1" showInputMessage="1" showErrorMessage="1" sqref="D24:D26" xr:uid="{344DC813-FB7B-41A2-9EBB-AE0143EB576E}">
      <formula1>"Ja,Nein"</formula1>
    </dataValidation>
    <dataValidation type="whole" operator="greaterThan" allowBlank="1" showInputMessage="1" showErrorMessage="1" sqref="C13" xr:uid="{37665B26-08DF-4127-91BA-DDC60978282B}">
      <formula1>0</formula1>
    </dataValidation>
  </dataValidations>
  <pageMargins left="0.7" right="0.7" top="0.78740157499999996" bottom="0.78740157499999996" header="0.3" footer="0.3"/>
  <pageSetup paperSize="9" orientation="portrait" verticalDpi="30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83814-4FE8-4373-970A-01493F4750A1}">
  <sheetPr>
    <outlinePr summaryRight="0"/>
  </sheetPr>
  <dimension ref="B1:T48"/>
  <sheetViews>
    <sheetView showGridLines="0" zoomScaleNormal="100" workbookViewId="0"/>
  </sheetViews>
  <sheetFormatPr baseColWidth="10" defaultRowHeight="14" outlineLevelCol="1" x14ac:dyDescent="0.3"/>
  <cols>
    <col min="1" max="1" width="4.83203125" customWidth="1"/>
    <col min="2" max="2" width="33.08203125" customWidth="1"/>
    <col min="3" max="3" width="12" customWidth="1"/>
    <col min="4" max="4" width="20.9140625" customWidth="1"/>
    <col min="5" max="5" width="16.9140625" customWidth="1"/>
    <col min="6" max="6" width="16.75" customWidth="1" collapsed="1"/>
    <col min="7" max="7" width="6.5" style="93" hidden="1" customWidth="1" outlineLevel="1"/>
    <col min="8" max="8" width="38.5" style="93" hidden="1" customWidth="1" outlineLevel="1"/>
    <col min="9" max="20" width="4.08203125" hidden="1" customWidth="1" outlineLevel="1"/>
  </cols>
  <sheetData>
    <row r="1" spans="2:7" ht="18.5" x14ac:dyDescent="0.45">
      <c r="B1" s="247" t="s">
        <v>64</v>
      </c>
      <c r="C1" s="247"/>
      <c r="D1" s="247"/>
      <c r="E1" s="247"/>
      <c r="F1" s="247"/>
    </row>
    <row r="2" spans="2:7" ht="14.5" customHeight="1" x14ac:dyDescent="0.35">
      <c r="B2" s="260" t="s">
        <v>108</v>
      </c>
      <c r="C2" s="260"/>
      <c r="D2" s="260"/>
      <c r="E2" s="260"/>
      <c r="F2" s="260"/>
    </row>
    <row r="3" spans="2:7" ht="14.5" x14ac:dyDescent="0.35">
      <c r="B3" s="94"/>
      <c r="C3" s="94"/>
      <c r="D3" s="94"/>
      <c r="E3" s="94"/>
      <c r="F3" s="94"/>
    </row>
    <row r="4" spans="2:7" ht="14" customHeight="1" x14ac:dyDescent="0.3">
      <c r="B4" s="249" t="s">
        <v>101</v>
      </c>
      <c r="C4" s="249"/>
      <c r="D4" s="249"/>
      <c r="E4" s="249"/>
      <c r="F4" s="249"/>
    </row>
    <row r="5" spans="2:7" ht="14.5" x14ac:dyDescent="0.35">
      <c r="B5" s="95"/>
      <c r="C5" s="95"/>
      <c r="D5" s="96"/>
      <c r="E5" s="96"/>
      <c r="F5" s="96"/>
    </row>
    <row r="6" spans="2:7" ht="14.5" x14ac:dyDescent="0.35">
      <c r="B6" s="155" t="s">
        <v>117</v>
      </c>
      <c r="C6" s="157">
        <v>4.41E-2</v>
      </c>
      <c r="D6" s="96"/>
      <c r="E6" s="96"/>
      <c r="F6" s="96"/>
    </row>
    <row r="7" spans="2:7" ht="14.5" x14ac:dyDescent="0.35">
      <c r="B7" s="155" t="s">
        <v>118</v>
      </c>
      <c r="C7" s="140"/>
      <c r="D7" s="143" t="s">
        <v>105</v>
      </c>
      <c r="E7" s="144" t="str">
        <f>IF(OR(ISBLANK(C6),ISBLANK(C7)),"N/A",(100%+C6)*(100%+C7))</f>
        <v>N/A</v>
      </c>
      <c r="F7" s="96"/>
    </row>
    <row r="8" spans="2:7" ht="14.5" x14ac:dyDescent="0.35">
      <c r="B8" s="99"/>
      <c r="C8" s="96"/>
      <c r="D8" s="168"/>
      <c r="E8" s="167"/>
      <c r="F8" s="96"/>
    </row>
    <row r="9" spans="2:7" ht="14.5" x14ac:dyDescent="0.35">
      <c r="B9" s="97" t="s">
        <v>75</v>
      </c>
      <c r="C9" s="98">
        <v>46023</v>
      </c>
      <c r="D9" s="255" t="s">
        <v>110</v>
      </c>
      <c r="E9" s="251" t="str">
        <f>IF(OR(ISBLANK($C$9),ISBLANK($C$10)),"N/A",(YEAR($C$9)-YEAR($C$10))*12+MONTH($C$9)-MONTH($C$10))</f>
        <v>N/A</v>
      </c>
      <c r="F9" s="96"/>
    </row>
    <row r="10" spans="2:7" ht="14.5" x14ac:dyDescent="0.35">
      <c r="B10" s="99" t="s">
        <v>76</v>
      </c>
      <c r="C10" s="100"/>
      <c r="D10" s="256"/>
      <c r="E10" s="251"/>
      <c r="F10" s="96"/>
      <c r="G10" s="171"/>
    </row>
    <row r="11" spans="2:7" ht="14.5" x14ac:dyDescent="0.35">
      <c r="B11" s="99"/>
      <c r="C11" s="96"/>
      <c r="D11" s="168"/>
      <c r="E11" s="167"/>
      <c r="F11" s="96"/>
      <c r="G11" s="171"/>
    </row>
    <row r="12" spans="2:7" ht="14.5" x14ac:dyDescent="0.35">
      <c r="B12" s="142"/>
      <c r="C12" s="142"/>
      <c r="D12" s="96"/>
      <c r="E12" s="167" t="s">
        <v>83</v>
      </c>
      <c r="F12" s="167" t="s">
        <v>84</v>
      </c>
      <c r="G12" s="171"/>
    </row>
    <row r="13" spans="2:7" ht="14.5" x14ac:dyDescent="0.3">
      <c r="B13" s="97"/>
      <c r="C13" s="102"/>
      <c r="D13" s="141" t="s">
        <v>82</v>
      </c>
      <c r="E13" s="105" t="str">
        <f>IF(E7="N/A","N/A",40000*$E$7)</f>
        <v>N/A</v>
      </c>
      <c r="F13" s="105" t="str">
        <f>IF(E7="N/A","N/A",7000*$E$7)</f>
        <v>N/A</v>
      </c>
      <c r="G13" s="171"/>
    </row>
    <row r="14" spans="2:7" ht="14.5" x14ac:dyDescent="0.3">
      <c r="B14" s="97" t="s">
        <v>0</v>
      </c>
      <c r="C14" s="104"/>
      <c r="D14" s="141" t="s">
        <v>96</v>
      </c>
      <c r="E14" s="105" t="str">
        <f>IF(E7="N/A","N/A",168.6*$E$7)</f>
        <v>N/A</v>
      </c>
      <c r="F14" s="105" t="str">
        <f>IF(E7="N/A","N/A",90.06*$E$7)</f>
        <v>N/A</v>
      </c>
    </row>
    <row r="15" spans="2:7" ht="14.5" x14ac:dyDescent="0.35">
      <c r="B15" s="106"/>
      <c r="C15" s="96"/>
      <c r="D15" s="103" t="s">
        <v>97</v>
      </c>
      <c r="E15" s="105" t="str">
        <f>IF(OR(ISBLANK($C$14),E7="N/A"),"N/A",E13+$C$14*E14)</f>
        <v>N/A</v>
      </c>
      <c r="F15" s="105" t="str">
        <f>IF(OR(ISBLANK($C$14),E7="N/A"),"N/A",F13+$C$14*F14)</f>
        <v>N/A</v>
      </c>
    </row>
    <row r="16" spans="2:7" ht="14.5" x14ac:dyDescent="0.35">
      <c r="B16" s="106"/>
      <c r="C16" s="96"/>
      <c r="D16" s="103" t="s">
        <v>93</v>
      </c>
      <c r="E16" s="105" t="str">
        <f>IF(E15="N/A","N/A",E15/12)</f>
        <v>N/A</v>
      </c>
      <c r="F16" s="105" t="str">
        <f>IF(F15="N/A","N/A",F15/12)</f>
        <v>N/A</v>
      </c>
    </row>
    <row r="17" spans="2:20" ht="6" customHeight="1" x14ac:dyDescent="0.35">
      <c r="B17" s="106"/>
      <c r="C17" s="96"/>
      <c r="D17" s="103"/>
      <c r="E17" s="105"/>
      <c r="F17" s="105"/>
    </row>
    <row r="18" spans="2:20" ht="14.5" x14ac:dyDescent="0.35">
      <c r="B18" s="106"/>
      <c r="C18" s="96"/>
      <c r="D18" s="107" t="s">
        <v>95</v>
      </c>
      <c r="E18" s="146" t="str">
        <f>IF(F18="N/A","N/A",IF(E9&lt;0,0,12-F18))</f>
        <v>N/A</v>
      </c>
      <c r="F18" s="146" t="str">
        <f>IF(E9="N/A","N/A",IF(OR(C10&lt;DATE(2021,1,1),C10&gt;DATE(2023,12,31)),0,IF(E9&gt;=30,0,IF(E9&gt;18,30-E9,12))))</f>
        <v>N/A</v>
      </c>
    </row>
    <row r="19" spans="2:20" ht="14.5" x14ac:dyDescent="0.35">
      <c r="B19" s="108"/>
      <c r="C19" s="96"/>
      <c r="D19" s="168"/>
      <c r="E19" s="167"/>
      <c r="F19" s="172"/>
    </row>
    <row r="20" spans="2:20" ht="45" customHeight="1" x14ac:dyDescent="0.3">
      <c r="B20" s="252" t="s">
        <v>99</v>
      </c>
      <c r="C20" s="252"/>
      <c r="D20" s="252"/>
      <c r="E20" s="253" t="str">
        <f>IF(COUNTIF(E16:F18,"N/A")&gt;0,"N/A",E18*E16+F18*F16)</f>
        <v>N/A</v>
      </c>
      <c r="F20" s="253"/>
    </row>
    <row r="21" spans="2:20" s="93" customFormat="1" ht="14.5" x14ac:dyDescent="0.35">
      <c r="B21" s="109"/>
      <c r="C21" s="110"/>
      <c r="D21" s="110"/>
      <c r="E21" s="110"/>
      <c r="F21" s="110"/>
    </row>
    <row r="22" spans="2:20" ht="14" customHeight="1" x14ac:dyDescent="0.3">
      <c r="B22" s="245" t="s">
        <v>102</v>
      </c>
      <c r="C22" s="245"/>
      <c r="D22" s="245"/>
      <c r="E22" s="245"/>
      <c r="F22" s="245"/>
    </row>
    <row r="23" spans="2:20" ht="14.5" x14ac:dyDescent="0.35">
      <c r="B23" s="122"/>
      <c r="C23" s="120"/>
      <c r="D23" s="168"/>
      <c r="E23" s="121"/>
      <c r="F23" s="96"/>
    </row>
    <row r="24" spans="2:20" ht="62" customHeight="1" x14ac:dyDescent="0.3">
      <c r="B24" s="261" t="s">
        <v>86</v>
      </c>
      <c r="C24" s="258"/>
      <c r="D24" s="133" t="s">
        <v>98</v>
      </c>
      <c r="E24" s="149" t="s">
        <v>111</v>
      </c>
      <c r="F24" s="127" t="s">
        <v>91</v>
      </c>
      <c r="G24" s="158"/>
      <c r="H24" s="162" t="s">
        <v>131</v>
      </c>
      <c r="I24" s="182" t="s">
        <v>119</v>
      </c>
      <c r="J24" s="161" t="s">
        <v>120</v>
      </c>
      <c r="K24" s="161" t="s">
        <v>121</v>
      </c>
      <c r="L24" s="161" t="s">
        <v>129</v>
      </c>
      <c r="M24" s="161" t="s">
        <v>130</v>
      </c>
      <c r="N24" s="161" t="s">
        <v>122</v>
      </c>
      <c r="O24" s="161" t="s">
        <v>123</v>
      </c>
      <c r="P24" s="161" t="s">
        <v>124</v>
      </c>
      <c r="Q24" s="161" t="s">
        <v>125</v>
      </c>
      <c r="R24" s="161" t="s">
        <v>126</v>
      </c>
      <c r="S24" s="161" t="s">
        <v>127</v>
      </c>
      <c r="T24" s="161" t="s">
        <v>128</v>
      </c>
    </row>
    <row r="25" spans="2:20" ht="14.5" x14ac:dyDescent="0.35">
      <c r="B25" s="123" t="s">
        <v>78</v>
      </c>
      <c r="C25" s="125"/>
      <c r="D25" s="134"/>
      <c r="E25" s="131"/>
      <c r="F25" s="135" t="str">
        <f>IF(COUNTIF(I25:T25,"N/A")&gt;0,"N/A",SUM(I25:T25))</f>
        <v>N/A</v>
      </c>
      <c r="H25" s="174" t="s">
        <v>78</v>
      </c>
      <c r="I25" s="177" t="str">
        <f>IF(OR(AND(ISBLANK(D25),E25&lt;&gt;""),AND(D25="Ja",ISBLANK(E25)),AND(C25="Irrelevant",OR(D25&lt;&gt;"",E25&lt;&gt;"")),C25="",AND(C25="Ja",D25="Ja"),AND(E25&lt;&gt;"",E25&lt;$C$10),AND(C25="Nein",D25=""),AND(C25="Ja",$C$10&gt;$C$9),$C$10=""),"N/A",IF($C25="Nein",IF($D25="Nein",1,N(MONTH($E25)&gt;1+COLUMN()-COLUMN($I25))),0))</f>
        <v>N/A</v>
      </c>
      <c r="J25" s="178" t="str">
        <f>IF(OR(AND(ISBLANK(D25),E25&lt;&gt;""),AND(D25="Ja",ISBLANK(E25)),AND(C25="Irrelevant",OR(D25&lt;&gt;"",E25&lt;&gt;"")),C25="",AND(C25="Ja",D25="Ja"),AND(E25&lt;&gt;"",E25&lt;$C$10),AND(C25="Nein",D25=""),AND(C25="Ja",$C$10&gt;$C$9),$C$10=""),"N/A",IF($C25="Nein",IF($D25="Nein",1,N(MONTH($E25)&gt;1+COLUMN()-COLUMN($I25))),0))</f>
        <v>N/A</v>
      </c>
      <c r="K25" s="178" t="str">
        <f>IF(OR(AND(ISBLANK(D25),E25&lt;&gt;""),AND(D25="Ja",ISBLANK(E25)),AND(C25="Irrelevant",OR(D25&lt;&gt;"",E25&lt;&gt;"")),C25="",AND(C25="Ja",D25="Ja"),AND(E25&lt;&gt;"",E25&lt;$C$10),AND(C25="Nein",D25=""),AND(C25="Ja",$C$10&gt;$C$9),$C$10=""),"N/A",IF($C25="Nein",IF($D25="Nein",1,N(MONTH($E25)&gt;1+COLUMN()-COLUMN($I25))),0))</f>
        <v>N/A</v>
      </c>
      <c r="L25" s="178" t="str">
        <f>IF(OR(AND(ISBLANK(D25),E25&lt;&gt;""),AND(D25="Ja",ISBLANK(E25)),AND(C25="Irrelevant",OR(D25&lt;&gt;"",E25&lt;&gt;"")),C25="",AND(C25="Ja",D25="Ja"),AND(E25&lt;&gt;"",E25&lt;$C$10),AND(C25="Nein",D25=""),AND(C25="Ja",$C$10&gt;$C$9),$C$10=""),"N/A",IF($C25="Nein",IF($D25="Nein",1,N(MONTH($E25)&gt;1+COLUMN()-COLUMN($I25))),0))</f>
        <v>N/A</v>
      </c>
      <c r="M25" s="178" t="str">
        <f>IF(OR(AND(ISBLANK(D25),E25&lt;&gt;""),AND(D25="Ja",ISBLANK(E25)),AND(C25="Irrelevant",OR(D25&lt;&gt;"",E25&lt;&gt;"")),C25="",AND(C25="Ja",D25="Ja"),AND(E25&lt;&gt;"",E25&lt;$C$10),AND(C25="Nein",D25=""),AND(C25="Ja",$C$10&gt;$C$9),$C$10=""),"N/A",IF($C25="Nein",IF($D25="Nein",1,N(MONTH($E25)&gt;1+COLUMN()-COLUMN($I25))),0))</f>
        <v>N/A</v>
      </c>
      <c r="N25" s="178" t="str">
        <f>IF(OR(AND(ISBLANK(D25),E25&lt;&gt;""),AND(D25="Ja",ISBLANK(E25)),AND(C25="Irrelevant",OR(D25&lt;&gt;"",E25&lt;&gt;"")),C25="",AND(C25="Ja",D25="Ja"),AND(E25&lt;&gt;"",E25&lt;$C$10),AND(C25="Nein",D25=""),AND(C25="Ja",$C$10&gt;$C$9),$C$10=""),"N/A",IF($C25="Nein",IF($D25="Nein",1,N(MONTH($E25)&gt;1+COLUMN()-COLUMN($I25))),0))</f>
        <v>N/A</v>
      </c>
      <c r="O25" s="178" t="str">
        <f>IF(OR(AND(ISBLANK(D25),E25&lt;&gt;""),AND(D25="Ja",ISBLANK(E25)),AND(C25="Irrelevant",OR(D25&lt;&gt;"",E25&lt;&gt;"")),C25="",AND(C25="Ja",D25="Ja"),AND(E25&lt;&gt;"",E25&lt;$C$10),AND(C25="Nein",D25=""),AND(C25="Ja",$C$10&gt;$C$9),$C$10=""),"N/A",IF($C25="Nein",IF($D25="Nein",1,N(MONTH($E25)&gt;1+COLUMN()-COLUMN($I25))),0))</f>
        <v>N/A</v>
      </c>
      <c r="P25" s="178" t="str">
        <f>IF(OR(AND(ISBLANK(D25),E25&lt;&gt;""),AND(D25="Ja",ISBLANK(E25)),AND(C25="Irrelevant",OR(D25&lt;&gt;"",E25&lt;&gt;"")),C25="",AND(C25="Ja",D25="Ja"),AND(E25&lt;&gt;"",E25&lt;$C$10),AND(C25="Nein",D25=""),AND(C25="Ja",$C$10&gt;$C$9),$C$10=""),"N/A",IF($C25="Nein",IF($D25="Nein",1,N(MONTH($E25)&gt;1+COLUMN()-COLUMN($I25))),0))</f>
        <v>N/A</v>
      </c>
      <c r="Q25" s="178" t="str">
        <f>IF(OR(AND(ISBLANK(D25),E25&lt;&gt;""),AND(D25="Ja",ISBLANK(E25)),AND(C25="Irrelevant",OR(D25&lt;&gt;"",E25&lt;&gt;"")),C25="",AND(C25="Ja",D25="Ja"),AND(E25&lt;&gt;"",E25&lt;$C$10),AND(C25="Nein",D25=""),AND(C25="Ja",$C$10&gt;$C$9),$C$10=""),"N/A",IF($C25="Nein",IF($D25="Nein",1,N(MONTH($E25)&gt;1+COLUMN()-COLUMN($I25))),0))</f>
        <v>N/A</v>
      </c>
      <c r="R25" s="178" t="str">
        <f>IF(OR(AND(ISBLANK(D25),E25&lt;&gt;""),AND(D25="Ja",ISBLANK(E25)),AND(C25="Irrelevant",OR(D25&lt;&gt;"",E25&lt;&gt;"")),C25="",AND(C25="Ja",D25="Ja"),AND(E25&lt;&gt;"",E25&lt;$C$10),AND(C25="Nein",D25=""),AND(C25="Ja",$C$10&gt;$C$9),$C$10=""),"N/A",IF($C25="Nein",IF($D25="Nein",1,N(MONTH($E25)&gt;1+COLUMN()-COLUMN($I25))),0))</f>
        <v>N/A</v>
      </c>
      <c r="S25" s="178" t="str">
        <f>IF(OR(AND(ISBLANK(D25),E25&lt;&gt;""),AND(D25="Ja",ISBLANK(E25)),AND(C25="Irrelevant",OR(D25&lt;&gt;"",E25&lt;&gt;"")),C25="",AND(C25="Ja",D25="Ja"),AND(E25&lt;&gt;"",E25&lt;$C$10),AND(C25="Nein",D25=""),AND(C25="Ja",$C$10&gt;$C$9),$C$10=""),"N/A",IF($C25="Nein",IF($D25="Nein",1,N(MONTH($E25)&gt;1+COLUMN()-COLUMN($I25))),0))</f>
        <v>N/A</v>
      </c>
      <c r="T25" s="178" t="str">
        <f>IF(OR(AND(ISBLANK(D25),E25&lt;&gt;""),AND(D25="Ja",ISBLANK(E25)),AND(C25="Irrelevant",OR(D25&lt;&gt;"",E25&lt;&gt;"")),C25="",AND(C25="Ja",D25="Ja"),AND(E25&lt;&gt;"",E25&lt;$C$10),AND(C25="Nein",D25=""),AND(C25="Ja",$C$10&gt;$C$9),$C$10=""),"N/A",IF($C25="Nein",IF($D25="Nein",1,N(MONTH($E25)&gt;1+COLUMN()-COLUMN($I25))),0))</f>
        <v>N/A</v>
      </c>
    </row>
    <row r="26" spans="2:20" ht="14.5" x14ac:dyDescent="0.35">
      <c r="B26" s="97" t="s">
        <v>79</v>
      </c>
      <c r="C26" s="169"/>
      <c r="D26" s="134"/>
      <c r="E26" s="131"/>
      <c r="F26" s="135" t="str">
        <f t="shared" ref="F26:F28" si="0">IF(COUNTIF(I26:T26,"N/A")&gt;0,"N/A",SUM(I26:T26))</f>
        <v>N/A</v>
      </c>
      <c r="H26" s="175" t="s">
        <v>79</v>
      </c>
      <c r="I26" s="179" t="str">
        <f t="shared" ref="I26:I27" si="1">IF(OR(AND(ISBLANK(D26),E26&lt;&gt;""),AND(D26="Ja",ISBLANK(E26)),AND(C26="Irrelevant",OR(D26&lt;&gt;"",E26&lt;&gt;"")),C26="",AND(C26="Ja",D26="Ja"),AND(E26&lt;&gt;"",E26&lt;$C$10),AND(C26="Nein",D26=""),AND(C26="Ja",$C$10&gt;$C$9),$C$10=""),"N/A",IF($C26="Nein",IF($D26="Nein",1,N(MONTH($E26)&gt;1+COLUMN()-COLUMN($I26))),0))</f>
        <v>N/A</v>
      </c>
      <c r="J26" s="163" t="str">
        <f t="shared" ref="J26:J28" si="2">IF(OR(AND(ISBLANK(D26),E26&lt;&gt;""),AND(D26="Ja",ISBLANK(E26)),AND(C26="Irrelevant",OR(D26&lt;&gt;"",E26&lt;&gt;"")),C26="",AND(C26="Ja",D26="Ja"),AND(E26&lt;&gt;"",E26&lt;$C$10),AND(C26="Nein",D26=""),AND(C26="Ja",$C$10&gt;$C$9),$C$10=""),"N/A",IF($C26="Nein",IF($D26="Nein",1,N(MONTH($E26)&gt;1+COLUMN()-COLUMN($I26))),0))</f>
        <v>N/A</v>
      </c>
      <c r="K26" s="163" t="str">
        <f t="shared" ref="K26:K28" si="3">IF(OR(AND(ISBLANK(D26),E26&lt;&gt;""),AND(D26="Ja",ISBLANK(E26)),AND(C26="Irrelevant",OR(D26&lt;&gt;"",E26&lt;&gt;"")),C26="",AND(C26="Ja",D26="Ja"),AND(E26&lt;&gt;"",E26&lt;$C$10),AND(C26="Nein",D26=""),AND(C26="Ja",$C$10&gt;$C$9),$C$10=""),"N/A",IF($C26="Nein",IF($D26="Nein",1,N(MONTH($E26)&gt;1+COLUMN()-COLUMN($I26))),0))</f>
        <v>N/A</v>
      </c>
      <c r="L26" s="163" t="str">
        <f t="shared" ref="L26:L28" si="4">IF(OR(AND(ISBLANK(D26),E26&lt;&gt;""),AND(D26="Ja",ISBLANK(E26)),AND(C26="Irrelevant",OR(D26&lt;&gt;"",E26&lt;&gt;"")),C26="",AND(C26="Ja",D26="Ja"),AND(E26&lt;&gt;"",E26&lt;$C$10),AND(C26="Nein",D26=""),AND(C26="Ja",$C$10&gt;$C$9),$C$10=""),"N/A",IF($C26="Nein",IF($D26="Nein",1,N(MONTH($E26)&gt;1+COLUMN()-COLUMN($I26))),0))</f>
        <v>N/A</v>
      </c>
      <c r="M26" s="163" t="str">
        <f t="shared" ref="M26:M28" si="5">IF(OR(AND(ISBLANK(D26),E26&lt;&gt;""),AND(D26="Ja",ISBLANK(E26)),AND(C26="Irrelevant",OR(D26&lt;&gt;"",E26&lt;&gt;"")),C26="",AND(C26="Ja",D26="Ja"),AND(E26&lt;&gt;"",E26&lt;$C$10),AND(C26="Nein",D26=""),AND(C26="Ja",$C$10&gt;$C$9),$C$10=""),"N/A",IF($C26="Nein",IF($D26="Nein",1,N(MONTH($E26)&gt;1+COLUMN()-COLUMN($I26))),0))</f>
        <v>N/A</v>
      </c>
      <c r="N26" s="163" t="str">
        <f t="shared" ref="N26:N28" si="6">IF(OR(AND(ISBLANK(D26),E26&lt;&gt;""),AND(D26="Ja",ISBLANK(E26)),AND(C26="Irrelevant",OR(D26&lt;&gt;"",E26&lt;&gt;"")),C26="",AND(C26="Ja",D26="Ja"),AND(E26&lt;&gt;"",E26&lt;$C$10),AND(C26="Nein",D26=""),AND(C26="Ja",$C$10&gt;$C$9),$C$10=""),"N/A",IF($C26="Nein",IF($D26="Nein",1,N(MONTH($E26)&gt;1+COLUMN()-COLUMN($I26))),0))</f>
        <v>N/A</v>
      </c>
      <c r="O26" s="163" t="str">
        <f t="shared" ref="O26:O28" si="7">IF(OR(AND(ISBLANK(D26),E26&lt;&gt;""),AND(D26="Ja",ISBLANK(E26)),AND(C26="Irrelevant",OR(D26&lt;&gt;"",E26&lt;&gt;"")),C26="",AND(C26="Ja",D26="Ja"),AND(E26&lt;&gt;"",E26&lt;$C$10),AND(C26="Nein",D26=""),AND(C26="Ja",$C$10&gt;$C$9),$C$10=""),"N/A",IF($C26="Nein",IF($D26="Nein",1,N(MONTH($E26)&gt;1+COLUMN()-COLUMN($I26))),0))</f>
        <v>N/A</v>
      </c>
      <c r="P26" s="163" t="str">
        <f t="shared" ref="P26:P28" si="8">IF(OR(AND(ISBLANK(D26),E26&lt;&gt;""),AND(D26="Ja",ISBLANK(E26)),AND(C26="Irrelevant",OR(D26&lt;&gt;"",E26&lt;&gt;"")),C26="",AND(C26="Ja",D26="Ja"),AND(E26&lt;&gt;"",E26&lt;$C$10),AND(C26="Nein",D26=""),AND(C26="Ja",$C$10&gt;$C$9),$C$10=""),"N/A",IF($C26="Nein",IF($D26="Nein",1,N(MONTH($E26)&gt;1+COLUMN()-COLUMN($I26))),0))</f>
        <v>N/A</v>
      </c>
      <c r="Q26" s="163" t="str">
        <f t="shared" ref="Q26:Q28" si="9">IF(OR(AND(ISBLANK(D26),E26&lt;&gt;""),AND(D26="Ja",ISBLANK(E26)),AND(C26="Irrelevant",OR(D26&lt;&gt;"",E26&lt;&gt;"")),C26="",AND(C26="Ja",D26="Ja"),AND(E26&lt;&gt;"",E26&lt;$C$10),AND(C26="Nein",D26=""),AND(C26="Ja",$C$10&gt;$C$9),$C$10=""),"N/A",IF($C26="Nein",IF($D26="Nein",1,N(MONTH($E26)&gt;1+COLUMN()-COLUMN($I26))),0))</f>
        <v>N/A</v>
      </c>
      <c r="R26" s="163" t="str">
        <f t="shared" ref="R26:R28" si="10">IF(OR(AND(ISBLANK(D26),E26&lt;&gt;""),AND(D26="Ja",ISBLANK(E26)),AND(C26="Irrelevant",OR(D26&lt;&gt;"",E26&lt;&gt;"")),C26="",AND(C26="Ja",D26="Ja"),AND(E26&lt;&gt;"",E26&lt;$C$10),AND(C26="Nein",D26=""),AND(C26="Ja",$C$10&gt;$C$9),$C$10=""),"N/A",IF($C26="Nein",IF($D26="Nein",1,N(MONTH($E26)&gt;1+COLUMN()-COLUMN($I26))),0))</f>
        <v>N/A</v>
      </c>
      <c r="S26" s="163" t="str">
        <f t="shared" ref="S26:S28" si="11">IF(OR(AND(ISBLANK(D26),E26&lt;&gt;""),AND(D26="Ja",ISBLANK(E26)),AND(C26="Irrelevant",OR(D26&lt;&gt;"",E26&lt;&gt;"")),C26="",AND(C26="Ja",D26="Ja"),AND(E26&lt;&gt;"",E26&lt;$C$10),AND(C26="Nein",D26=""),AND(C26="Ja",$C$10&gt;$C$9),$C$10=""),"N/A",IF($C26="Nein",IF($D26="Nein",1,N(MONTH($E26)&gt;1+COLUMN()-COLUMN($I26))),0))</f>
        <v>N/A</v>
      </c>
      <c r="T26" s="163" t="str">
        <f t="shared" ref="T26:T28" si="12">IF(OR(AND(ISBLANK(D26),E26&lt;&gt;""),AND(D26="Ja",ISBLANK(E26)),AND(C26="Irrelevant",OR(D26&lt;&gt;"",E26&lt;&gt;"")),C26="",AND(C26="Ja",D26="Ja"),AND(E26&lt;&gt;"",E26&lt;$C$10),AND(C26="Nein",D26=""),AND(C26="Ja",$C$10&gt;$C$9),$C$10=""),"N/A",IF($C26="Nein",IF($D26="Nein",1,N(MONTH($E26)&gt;1+COLUMN()-COLUMN($I26))),0))</f>
        <v>N/A</v>
      </c>
    </row>
    <row r="27" spans="2:20" ht="14.5" x14ac:dyDescent="0.35">
      <c r="B27" s="123" t="s">
        <v>80</v>
      </c>
      <c r="C27" s="132"/>
      <c r="D27" s="130"/>
      <c r="E27" s="131"/>
      <c r="F27" s="135" t="str">
        <f t="shared" si="0"/>
        <v>N/A</v>
      </c>
      <c r="H27" s="175" t="s">
        <v>80</v>
      </c>
      <c r="I27" s="179" t="str">
        <f t="shared" si="1"/>
        <v>N/A</v>
      </c>
      <c r="J27" s="163" t="str">
        <f t="shared" si="2"/>
        <v>N/A</v>
      </c>
      <c r="K27" s="163" t="str">
        <f t="shared" si="3"/>
        <v>N/A</v>
      </c>
      <c r="L27" s="163" t="str">
        <f t="shared" si="4"/>
        <v>N/A</v>
      </c>
      <c r="M27" s="163" t="str">
        <f t="shared" si="5"/>
        <v>N/A</v>
      </c>
      <c r="N27" s="163" t="str">
        <f t="shared" si="6"/>
        <v>N/A</v>
      </c>
      <c r="O27" s="163" t="str">
        <f>IF(OR(AND(ISBLANK(D27),E27&lt;&gt;""),AND(D27="Ja",ISBLANK(E27)),AND(C27="Irrelevant",OR(D27&lt;&gt;"",E27&lt;&gt;"")),C27="",AND(C27="Ja",D27="Ja"),AND(E27&lt;&gt;"",E27&lt;$C$10),AND(C27="Nein",D27=""),AND(C27="Ja",$C$10&gt;$C$9),$C$10=""),"N/A",IF($C27="Nein",IF($D27="Nein",1,N(MONTH($E27)&gt;1+COLUMN()-COLUMN($I27))),0))</f>
        <v>N/A</v>
      </c>
      <c r="P27" s="163" t="str">
        <f t="shared" si="8"/>
        <v>N/A</v>
      </c>
      <c r="Q27" s="163" t="str">
        <f t="shared" si="9"/>
        <v>N/A</v>
      </c>
      <c r="R27" s="163" t="str">
        <f t="shared" si="10"/>
        <v>N/A</v>
      </c>
      <c r="S27" s="163" t="str">
        <f t="shared" si="11"/>
        <v>N/A</v>
      </c>
      <c r="T27" s="163" t="str">
        <f t="shared" si="12"/>
        <v>N/A</v>
      </c>
    </row>
    <row r="28" spans="2:20" ht="14.5" x14ac:dyDescent="0.35">
      <c r="B28" s="123" t="s">
        <v>81</v>
      </c>
      <c r="C28" s="129"/>
      <c r="D28" s="130"/>
      <c r="E28" s="128"/>
      <c r="F28" s="135" t="str">
        <f t="shared" si="0"/>
        <v>N/A</v>
      </c>
      <c r="H28" s="175" t="s">
        <v>81</v>
      </c>
      <c r="I28" s="187" t="str">
        <f>IF(OR(AND(ISBLANK(D28),E28&lt;&gt;""),AND(D28="Ja",ISBLANK(E28)),AND(C28="Irrelevant",OR(D28&lt;&gt;"",E28&lt;&gt;"")),C28="",AND(C28="Ja",D28="Ja"),AND(E28&lt;&gt;"",E28&lt;$C$10),AND(C28="Nein",D28=""),AND(C28="Ja",$C$10&gt;$C$9),$C$10=""),"N/A",IF($C28="Nein",IF($D28="Nein",1,N(MONTH($E28)&gt;1+COLUMN()-COLUMN($I28))),0))</f>
        <v>N/A</v>
      </c>
      <c r="J28" s="188" t="str">
        <f t="shared" si="2"/>
        <v>N/A</v>
      </c>
      <c r="K28" s="188" t="str">
        <f t="shared" si="3"/>
        <v>N/A</v>
      </c>
      <c r="L28" s="188" t="str">
        <f t="shared" si="4"/>
        <v>N/A</v>
      </c>
      <c r="M28" s="188" t="str">
        <f t="shared" si="5"/>
        <v>N/A</v>
      </c>
      <c r="N28" s="188" t="str">
        <f t="shared" si="6"/>
        <v>N/A</v>
      </c>
      <c r="O28" s="188" t="str">
        <f t="shared" si="7"/>
        <v>N/A</v>
      </c>
      <c r="P28" s="188" t="str">
        <f t="shared" si="8"/>
        <v>N/A</v>
      </c>
      <c r="Q28" s="188" t="str">
        <f t="shared" si="9"/>
        <v>N/A</v>
      </c>
      <c r="R28" s="188" t="str">
        <f t="shared" si="10"/>
        <v>N/A</v>
      </c>
      <c r="S28" s="188" t="str">
        <f t="shared" si="11"/>
        <v>N/A</v>
      </c>
      <c r="T28" s="188" t="str">
        <f t="shared" si="12"/>
        <v>N/A</v>
      </c>
    </row>
    <row r="29" spans="2:20" ht="14.5" x14ac:dyDescent="0.35">
      <c r="B29" s="108"/>
      <c r="C29" s="96"/>
      <c r="D29" s="136"/>
      <c r="E29" s="126"/>
      <c r="F29" s="124"/>
      <c r="G29" s="159"/>
      <c r="H29" s="163" t="s">
        <v>132</v>
      </c>
      <c r="I29" s="179" t="str">
        <f t="shared" ref="I29:T29" si="13">IF(COUNTIF(I25:I28,"N/A")&gt;0,"N/A",SUM(I25:I28))</f>
        <v>N/A</v>
      </c>
      <c r="J29" s="163" t="str">
        <f t="shared" si="13"/>
        <v>N/A</v>
      </c>
      <c r="K29" s="163" t="str">
        <f t="shared" si="13"/>
        <v>N/A</v>
      </c>
      <c r="L29" s="163" t="str">
        <f t="shared" si="13"/>
        <v>N/A</v>
      </c>
      <c r="M29" s="163" t="str">
        <f t="shared" si="13"/>
        <v>N/A</v>
      </c>
      <c r="N29" s="163" t="str">
        <f t="shared" si="13"/>
        <v>N/A</v>
      </c>
      <c r="O29" s="163" t="str">
        <f t="shared" si="13"/>
        <v>N/A</v>
      </c>
      <c r="P29" s="163" t="str">
        <f t="shared" si="13"/>
        <v>N/A</v>
      </c>
      <c r="Q29" s="163" t="str">
        <f t="shared" si="13"/>
        <v>N/A</v>
      </c>
      <c r="R29" s="163" t="str">
        <f t="shared" si="13"/>
        <v>N/A</v>
      </c>
      <c r="S29" s="163" t="str">
        <f t="shared" si="13"/>
        <v>N/A</v>
      </c>
      <c r="T29" s="163" t="str">
        <f t="shared" si="13"/>
        <v>N/A</v>
      </c>
    </row>
    <row r="30" spans="2:20" ht="14.5" x14ac:dyDescent="0.35">
      <c r="B30" s="108"/>
      <c r="C30" s="96"/>
      <c r="D30" s="168"/>
      <c r="E30" s="145" t="s">
        <v>83</v>
      </c>
      <c r="F30" s="154" t="s">
        <v>84</v>
      </c>
      <c r="H30" s="163"/>
      <c r="I30" s="179"/>
      <c r="J30" s="163"/>
      <c r="K30" s="163"/>
      <c r="L30" s="163"/>
      <c r="M30" s="163"/>
      <c r="N30" s="163"/>
      <c r="O30" s="163"/>
      <c r="P30" s="163"/>
      <c r="Q30" s="163"/>
      <c r="R30" s="163"/>
      <c r="S30" s="163"/>
      <c r="T30" s="163"/>
    </row>
    <row r="31" spans="2:20" ht="14.5" x14ac:dyDescent="0.35">
      <c r="B31" s="259" t="s">
        <v>106</v>
      </c>
      <c r="C31" s="259"/>
      <c r="D31" s="259"/>
      <c r="E31" s="146" t="str">
        <f>IF(E9="N/A","N/A",IF(OR(C10&lt;DATE(2021,1,1),C10&gt;DATE(2023,12,31)),MIN(12,MAX(0,E9)),MIN(MAX(E9-30,0),12)))</f>
        <v>N/A</v>
      </c>
      <c r="F31" s="146" t="str">
        <f>IF(E31="N/A","N/A",IF(OR(C10&lt;DATE(2021,1,1),C10&gt;DATE(2023,12,31)),0,IF(E9&lt;0,0,IF(E9&lt;12,E9,12-E31))))</f>
        <v>N/A</v>
      </c>
      <c r="G31" s="160"/>
      <c r="H31" s="164" t="s">
        <v>133</v>
      </c>
      <c r="I31" s="185" t="str">
        <f>IF($E$9&gt;=12-COLUMN()+COLUMN($I31),IF(OR($C$10&lt;DATE(2021,1,1),$C$10&gt;DATE(2023,12,31)),"V",IF(1+COLUMN()-COLUMN($I31)&lt;=12-MIN(MAX($E$9-30,0),12),"R","V")),"")</f>
        <v>V</v>
      </c>
      <c r="J31" s="186" t="str">
        <f t="shared" ref="J31:T31" si="14">IF($E$9&gt;=12-COLUMN()+COLUMN($I31),IF(OR($C$10&lt;DATE(2021,1,1),$C$10&gt;DATE(2023,12,31)),"V",IF(1+COLUMN()-COLUMN($I31)&lt;=12-MIN(MAX($E$9-30,0),12),"R","V")),"")</f>
        <v>V</v>
      </c>
      <c r="K31" s="186" t="str">
        <f t="shared" si="14"/>
        <v>V</v>
      </c>
      <c r="L31" s="186" t="str">
        <f t="shared" si="14"/>
        <v>V</v>
      </c>
      <c r="M31" s="186" t="str">
        <f t="shared" si="14"/>
        <v>V</v>
      </c>
      <c r="N31" s="186" t="str">
        <f t="shared" si="14"/>
        <v>V</v>
      </c>
      <c r="O31" s="186" t="str">
        <f t="shared" si="14"/>
        <v>V</v>
      </c>
      <c r="P31" s="186" t="str">
        <f t="shared" si="14"/>
        <v>V</v>
      </c>
      <c r="Q31" s="186" t="str">
        <f t="shared" si="14"/>
        <v>V</v>
      </c>
      <c r="R31" s="186" t="str">
        <f t="shared" si="14"/>
        <v>V</v>
      </c>
      <c r="S31" s="186" t="str">
        <f t="shared" si="14"/>
        <v>V</v>
      </c>
      <c r="T31" s="186" t="str">
        <f t="shared" si="14"/>
        <v>V</v>
      </c>
    </row>
    <row r="32" spans="2:20" ht="14.5" x14ac:dyDescent="0.35">
      <c r="B32" s="97" t="s">
        <v>88</v>
      </c>
      <c r="C32" s="111"/>
      <c r="D32" s="111"/>
      <c r="E32" s="146" t="str" cm="1">
        <f t="array" ref="E32">IF(COUNTIF(I29:T29,"N/A")&gt;0,"N/A",SUM(N(I29:T29=0)*N(I31:T31="V")))</f>
        <v>N/A</v>
      </c>
      <c r="F32" s="146" t="str" cm="1">
        <f t="array" ref="F32">IF(COUNTIF(I29:T29,"N/A")&gt;0,"N/A",SUM(N(I29:T29=0)*N(I31:T31="R")))</f>
        <v>N/A</v>
      </c>
      <c r="H32" s="165"/>
      <c r="I32" s="93"/>
      <c r="J32" s="93"/>
      <c r="K32" s="93"/>
      <c r="L32" s="93"/>
      <c r="M32" s="93"/>
      <c r="N32" s="93"/>
      <c r="O32" s="93"/>
      <c r="P32" s="93"/>
      <c r="Q32" s="93"/>
      <c r="R32" s="93"/>
      <c r="S32" s="93"/>
      <c r="T32" s="93"/>
    </row>
    <row r="33" spans="2:20" ht="14.5" x14ac:dyDescent="0.35">
      <c r="B33" s="97" t="s">
        <v>89</v>
      </c>
      <c r="C33" s="111"/>
      <c r="D33" s="111"/>
      <c r="E33" s="146" t="str" cm="1">
        <f t="array" ref="E33">IF(COUNTIF(I29:T29,"N/A")&gt;0,"N/A",SUM(N(I29:T29=1)*N(I31:T31="V")))</f>
        <v>N/A</v>
      </c>
      <c r="F33" s="146" t="str" cm="1">
        <f t="array" ref="F33">IF(COUNTIF(I29:T29,"N/A")&gt;0,"N/A",SUM(N(I29:T29=1)*N(I31:T31="R")))</f>
        <v>N/A</v>
      </c>
      <c r="H33" s="165"/>
      <c r="I33" s="166"/>
      <c r="J33" s="165"/>
      <c r="K33" s="166"/>
      <c r="L33" s="166"/>
      <c r="M33" s="166"/>
      <c r="N33" s="166"/>
      <c r="O33" s="166"/>
      <c r="P33" s="166"/>
      <c r="Q33" s="166"/>
      <c r="R33" s="166"/>
      <c r="S33" s="166"/>
      <c r="T33" s="166"/>
    </row>
    <row r="34" spans="2:20" ht="14.5" x14ac:dyDescent="0.3">
      <c r="B34" s="97" t="s">
        <v>90</v>
      </c>
      <c r="C34" s="111"/>
      <c r="D34" s="111"/>
      <c r="E34" s="146" t="str" cm="1">
        <f t="array" ref="E34">IF(COUNTIF(I29:T29,"N/A")&gt;0,"N/A",SUM(N(I29:T29&gt;1)*N(I31:T31="V")))</f>
        <v>N/A</v>
      </c>
      <c r="F34" s="146" t="str" cm="1">
        <f t="array" ref="F34">IF(COUNTIF(I29:T29,"N/A")&gt;0,"N/A",SUM(N(I29:T29&gt;1)*N(I31:T31="R")))</f>
        <v>N/A</v>
      </c>
      <c r="I34" s="93"/>
      <c r="J34" s="93"/>
      <c r="K34" s="93"/>
      <c r="L34" s="93"/>
      <c r="M34" s="93"/>
      <c r="N34" s="93"/>
      <c r="O34" s="93"/>
      <c r="P34" s="93"/>
      <c r="Q34" s="93"/>
      <c r="R34" s="93"/>
      <c r="S34" s="93"/>
      <c r="T34" s="93"/>
    </row>
    <row r="35" spans="2:20" ht="14.5" x14ac:dyDescent="0.35">
      <c r="B35" s="99"/>
      <c r="C35" s="96"/>
      <c r="D35" s="168"/>
      <c r="E35" s="167"/>
      <c r="F35" s="167"/>
      <c r="I35" s="171"/>
      <c r="J35" s="93"/>
      <c r="K35" s="93"/>
      <c r="L35" s="93"/>
      <c r="M35" s="93"/>
      <c r="N35" s="93"/>
      <c r="O35" s="93"/>
      <c r="P35" s="93"/>
      <c r="Q35" s="93"/>
      <c r="R35" s="93"/>
      <c r="S35" s="93"/>
      <c r="T35" s="93"/>
    </row>
    <row r="36" spans="2:20" ht="45" customHeight="1" x14ac:dyDescent="0.3">
      <c r="B36" s="252" t="s">
        <v>94</v>
      </c>
      <c r="C36" s="252"/>
      <c r="D36" s="252"/>
      <c r="E36" s="252"/>
      <c r="F36" s="138" t="str">
        <f>IF(OR(F34="N/A",'Kalkulator für 2025'!F15="N/A",E34="N/A",'Kalkulator für 2025'!E15="N/A",F33="N/A",E33="N/A"),"N/A",(F34*'Kalkulator für 2025'!F15+E34*'Kalkulator für 2025'!E15)+(F33*'Kalkulator für 2025'!F15+E33*'Kalkulator für 2025'!E15)*0.5)</f>
        <v>N/A</v>
      </c>
    </row>
    <row r="37" spans="2:20" ht="14.5" x14ac:dyDescent="0.3">
      <c r="B37" s="112"/>
      <c r="C37" s="113"/>
      <c r="D37" s="113"/>
      <c r="E37" s="113"/>
      <c r="F37" s="114"/>
    </row>
    <row r="38" spans="2:20" ht="14.5" x14ac:dyDescent="0.3">
      <c r="B38" s="245" t="s">
        <v>104</v>
      </c>
      <c r="C38" s="245"/>
      <c r="D38" s="245"/>
      <c r="E38" s="245"/>
      <c r="F38" s="245"/>
    </row>
    <row r="39" spans="2:20" ht="14.5" x14ac:dyDescent="0.35">
      <c r="B39" s="108"/>
      <c r="C39" s="96"/>
      <c r="D39" s="168"/>
      <c r="E39" s="167"/>
      <c r="F39" s="96"/>
    </row>
    <row r="40" spans="2:20" ht="14.5" x14ac:dyDescent="0.3">
      <c r="B40" s="139" t="s">
        <v>100</v>
      </c>
      <c r="C40" s="111"/>
      <c r="D40" s="111"/>
      <c r="E40" s="111"/>
      <c r="F40" s="116" t="str">
        <f>E20</f>
        <v>N/A</v>
      </c>
    </row>
    <row r="41" spans="2:20" ht="14.5" x14ac:dyDescent="0.3">
      <c r="B41" s="97" t="s">
        <v>92</v>
      </c>
      <c r="C41" s="111"/>
      <c r="D41" s="111"/>
      <c r="E41" s="111"/>
      <c r="F41" s="116" t="str">
        <f>IF(F36="N/A","N/A",F36*-1)</f>
        <v>N/A</v>
      </c>
    </row>
    <row r="42" spans="2:20" ht="14.5" x14ac:dyDescent="0.3">
      <c r="B42" s="147" t="s">
        <v>107</v>
      </c>
      <c r="C42" s="111"/>
      <c r="D42" s="111"/>
      <c r="E42" s="111"/>
      <c r="F42" s="117">
        <v>0</v>
      </c>
    </row>
    <row r="43" spans="2:20" ht="14.5" x14ac:dyDescent="0.3">
      <c r="B43" s="115"/>
      <c r="C43" s="111"/>
      <c r="D43" s="111"/>
      <c r="E43" s="111"/>
      <c r="F43" s="116"/>
    </row>
    <row r="44" spans="2:20" ht="14.5" x14ac:dyDescent="0.3">
      <c r="B44" s="115" t="s">
        <v>103</v>
      </c>
      <c r="C44" s="111"/>
      <c r="D44" s="111"/>
      <c r="E44" s="111"/>
      <c r="F44" s="118" t="str">
        <f>IF(COUNTIF(F40:F41,"N/A")&gt;0,"N/A",F40+F41+F42)</f>
        <v>N/A</v>
      </c>
    </row>
    <row r="45" spans="2:20" ht="14.5" x14ac:dyDescent="0.3">
      <c r="B45" s="115"/>
      <c r="C45" s="111"/>
      <c r="D45" s="111"/>
      <c r="E45" s="111"/>
      <c r="F45" s="116"/>
    </row>
    <row r="46" spans="2:20" ht="14.5" x14ac:dyDescent="0.35">
      <c r="B46" s="97" t="s">
        <v>32</v>
      </c>
      <c r="C46" s="96"/>
      <c r="D46" s="111"/>
      <c r="E46" s="96"/>
      <c r="F46" s="119"/>
    </row>
    <row r="47" spans="2:20" ht="14.5" x14ac:dyDescent="0.35">
      <c r="B47" s="108"/>
      <c r="C47" s="96"/>
      <c r="D47" s="168"/>
      <c r="E47" s="167"/>
      <c r="F47" s="96"/>
    </row>
    <row r="48" spans="2:20" ht="45" customHeight="1" x14ac:dyDescent="0.3">
      <c r="B48" s="246" t="s">
        <v>112</v>
      </c>
      <c r="C48" s="246"/>
      <c r="D48" s="246"/>
      <c r="E48" s="246"/>
      <c r="F48" s="137" t="str">
        <f>IF(OR(F44="N/A",F46=""),"N/A",ROUND(F44/F46,2))</f>
        <v>N/A</v>
      </c>
    </row>
  </sheetData>
  <mergeCells count="13">
    <mergeCell ref="B48:E48"/>
    <mergeCell ref="B1:F1"/>
    <mergeCell ref="B2:F2"/>
    <mergeCell ref="B4:F4"/>
    <mergeCell ref="D9:D10"/>
    <mergeCell ref="E9:E10"/>
    <mergeCell ref="B20:D20"/>
    <mergeCell ref="E20:F20"/>
    <mergeCell ref="B22:F22"/>
    <mergeCell ref="B24:C24"/>
    <mergeCell ref="B31:D31"/>
    <mergeCell ref="B36:E36"/>
    <mergeCell ref="B38:F38"/>
  </mergeCells>
  <conditionalFormatting sqref="B32:D34">
    <cfRule type="expression" dxfId="37" priority="12">
      <formula>AND(OR(XEU22="Ja", XEU22="Irrelevant"), OR(XEU23="Ja", XEU23="Irrelevant"), OR(XEU24="Ja", XEU24="Irrelevant"))</formula>
    </cfRule>
  </conditionalFormatting>
  <conditionalFormatting sqref="B36:F36">
    <cfRule type="expression" dxfId="36" priority="20">
      <formula>AND(OR(XEU33="Ja", XEU33="Irrelevant"), OR(XEU34="Ja", XEU34="Irrelevant"), OR(#REF!="Ja", #REF!="Irrelevant"))</formula>
    </cfRule>
  </conditionalFormatting>
  <conditionalFormatting sqref="D25">
    <cfRule type="expression" dxfId="35" priority="18">
      <formula>OR($C$25="Ja",$C$25="",$C$25="Irrelevant")</formula>
    </cfRule>
  </conditionalFormatting>
  <conditionalFormatting sqref="D26">
    <cfRule type="expression" dxfId="34" priority="17">
      <formula>OR($C$26="Ja",$C$26="",$C$26="Irrelevant")</formula>
    </cfRule>
  </conditionalFormatting>
  <conditionalFormatting sqref="D27">
    <cfRule type="expression" dxfId="33" priority="16">
      <formula>OR($C$27="Ja",$C$27="",$C$27="Irrelevant")</formula>
    </cfRule>
  </conditionalFormatting>
  <conditionalFormatting sqref="D28">
    <cfRule type="expression" dxfId="32" priority="9">
      <formula>OR($C$28="Ja",$C$28="",$C$28="Irrelevant")</formula>
    </cfRule>
  </conditionalFormatting>
  <conditionalFormatting sqref="E25">
    <cfRule type="expression" dxfId="31" priority="15">
      <formula>OR($D$25&lt;&gt;"Ja",$C$25="",AND($C$25="Ja",$D$25="Ja"),$C$25="Irrelevant")</formula>
    </cfRule>
  </conditionalFormatting>
  <conditionalFormatting sqref="E25:E28">
    <cfRule type="expression" dxfId="30" priority="5">
      <formula>AND(N(E25)&lt;&gt;0,OR(E25&lt;DATE(YEAR($C$9)-1,1,1),E25&gt;=$C$9))</formula>
    </cfRule>
  </conditionalFormatting>
  <conditionalFormatting sqref="E26">
    <cfRule type="expression" dxfId="29" priority="14">
      <formula>OR($D$26&lt;&gt;"Ja",$C$26="",AND($C$26="Ja",$D$26="Ja"),$C$26="Irrelevant")</formula>
    </cfRule>
  </conditionalFormatting>
  <conditionalFormatting sqref="E27">
    <cfRule type="expression" dxfId="28" priority="13">
      <formula>OR($D$27&lt;&gt;"Ja",$C$27="",AND($C$27="Ja",$D$27="Ja"),$C$27="Irrelevant")</formula>
    </cfRule>
  </conditionalFormatting>
  <conditionalFormatting sqref="E28">
    <cfRule type="expression" dxfId="27" priority="8">
      <formula>OR($D$28&lt;&gt;"Ja",$C$28="",AND($C$28="Ja",$D$28="Ja"),$C$28="Irrelevant")</formula>
    </cfRule>
  </conditionalFormatting>
  <conditionalFormatting sqref="E32:E34">
    <cfRule type="expression" dxfId="26" priority="22">
      <formula>AND(OR(XEY22="Ja", XEY22="Irrelevant"), OR(XEY23="Ja", XEY23="Irrelevant"), OR(XEY24="Ja", XEY24="Irrelevant"))</formula>
    </cfRule>
  </conditionalFormatting>
  <conditionalFormatting sqref="F32:F34">
    <cfRule type="expression" dxfId="25" priority="10">
      <formula>AND(OR(A22="Ja", A22="Irrelevant"), OR(A23="Ja", A23="Irrelevant"), OR(A24="Ja", A24="Irrelevant"))</formula>
    </cfRule>
  </conditionalFormatting>
  <conditionalFormatting sqref="F18">
    <cfRule type="expression" dxfId="24" priority="4">
      <formula>AND(OR(A9="Ja", A9="Irrelevant"), OR(A10="Ja", A10="Irrelevant"), OR(A11="Ja", A11="Irrelevant"))</formula>
    </cfRule>
  </conditionalFormatting>
  <conditionalFormatting sqref="E18">
    <cfRule type="expression" dxfId="23" priority="3">
      <formula>AND(OR(XEH9="Ja", XEH9="Irrelevant"), OR(XEH10="Ja", XEH10="Irrelevant"), OR(XEH11="Ja", XEH11="Irrelevant"))</formula>
    </cfRule>
  </conditionalFormatting>
  <conditionalFormatting sqref="E31">
    <cfRule type="expression" dxfId="22" priority="2">
      <formula>AND(OR(XEH23="Ja", XEH23="Irrelevant"), OR(XEH24="Ja", XEH24="Irrelevant"), OR(XEH25="Ja", XEH25="Irrelevant"))</formula>
    </cfRule>
  </conditionalFormatting>
  <conditionalFormatting sqref="F31">
    <cfRule type="expression" dxfId="21" priority="1">
      <formula>AND(OR(A23="Ja", A23="Irrelevant"), OR(A24="Ja", A24="Irrelevant"), OR(A25="Ja", A25="Irrelevant"))</formula>
    </cfRule>
  </conditionalFormatting>
  <conditionalFormatting sqref="B35:F35">
    <cfRule type="expression" dxfId="20" priority="32">
      <formula>AND(OR(XEU26="Ja", XEU26="Irrelevant"), OR(XEU27="Ja", XEU27="Irrelevant"), OR(XEU29="Ja", XEU29="Irrelevant"))</formula>
    </cfRule>
  </conditionalFormatting>
  <dataValidations count="5">
    <dataValidation type="date" operator="greaterThan" allowBlank="1" showInputMessage="1" showErrorMessage="1" sqref="C10" xr:uid="{D561CB66-4251-4FCC-A5FE-5A2B1E08F5AD}">
      <formula1>1</formula1>
    </dataValidation>
    <dataValidation type="list" allowBlank="1" showInputMessage="1" showErrorMessage="1" sqref="C25:C28" xr:uid="{615C2AE9-37AC-405A-9B43-11EE8B28BDBC}">
      <formula1>"Ja,Nein,Irrelevant"</formula1>
    </dataValidation>
    <dataValidation type="list" allowBlank="1" showInputMessage="1" showErrorMessage="1" sqref="D25:D28" xr:uid="{B3C509BA-FF4B-41D0-8289-04576E207592}">
      <formula1>"Ja,Nein"</formula1>
    </dataValidation>
    <dataValidation type="whole" operator="greaterThan" allowBlank="1" showInputMessage="1" showErrorMessage="1" sqref="C14" xr:uid="{E0154071-7CF6-4305-AA64-AA4E3044C1A0}">
      <formula1>0</formula1>
    </dataValidation>
    <dataValidation type="date" errorStyle="warning" allowBlank="1" showInputMessage="1" showErrorMessage="1" errorTitle="Nicht im Ausgleichszeitraum" error="Die Datumseingabe muss zwischen dem 1.1. und dem 31.12. des Ausgleichjahres liegen." sqref="E25:E28" xr:uid="{D44F7DC1-B64D-4EC4-8552-7E3F166015B8}">
      <formula1>DATE(YEAR($C$9)-1,1,1)</formula1>
      <formula2>DATE(YEAR($C$9)-1,12,31)</formula2>
    </dataValidation>
  </dataValidations>
  <pageMargins left="0.7" right="0.7" top="0.78740157499999996" bottom="0.78740157499999996" header="0.3" footer="0.3"/>
  <pageSetup paperSize="9" orientation="portrait" verticalDpi="300"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10</vt:i4>
      </vt:variant>
    </vt:vector>
  </HeadingPairs>
  <TitlesOfParts>
    <vt:vector size="10" baseType="lpstr">
      <vt:lpstr>Hinweise</vt:lpstr>
      <vt:lpstr>Kalkulator bis 9_2020</vt:lpstr>
      <vt:lpstr>Kalkulator 10_2020 - 12_2021</vt:lpstr>
      <vt:lpstr>Kalkulator ab 01_2022</vt:lpstr>
      <vt:lpstr>Kalkulator ab 04_2022</vt:lpstr>
      <vt:lpstr>Pauschaler Ergänzungsbetrag</vt:lpstr>
      <vt:lpstr>Kalkulator für 2024</vt:lpstr>
      <vt:lpstr>Kalkulator für 2025</vt:lpstr>
      <vt:lpstr>Kalkulator für 2026</vt:lpstr>
      <vt:lpstr>Kalkulator für 2027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2022-10-25T12:45:16Z</dcterms:created>
  <dcterms:modified xsi:type="dcterms:W3CDTF">2025-07-23T12:04:22Z</dcterms:modified>
  <cp:contentStatus/>
</cp:coreProperties>
</file>