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4" yWindow="1968" windowWidth="15048" windowHeight="3936"/>
  </bookViews>
  <sheets>
    <sheet name="Kalkulator" sheetId="3" r:id="rId1"/>
  </sheets>
  <calcPr calcId="145621"/>
</workbook>
</file>

<file path=xl/calcChain.xml><?xml version="1.0" encoding="utf-8"?>
<calcChain xmlns="http://schemas.openxmlformats.org/spreadsheetml/2006/main">
  <c r="O9" i="3" l="1"/>
  <c r="L10" i="3"/>
  <c r="F11" i="3"/>
  <c r="L8" i="3"/>
  <c r="F6" i="3"/>
  <c r="F7" i="3"/>
  <c r="F5" i="3"/>
  <c r="F8" i="3" l="1"/>
  <c r="L11" i="3"/>
  <c r="I8" i="3" l="1"/>
  <c r="P7" i="3"/>
  <c r="I5" i="3"/>
  <c r="I6" i="3"/>
  <c r="L7" i="3"/>
  <c r="O7" i="3"/>
  <c r="L6" i="3" l="1"/>
  <c r="O6" i="3"/>
  <c r="L9" i="3"/>
  <c r="F10" i="3"/>
  <c r="F12" i="3" s="1"/>
  <c r="O8" i="3" s="1"/>
  <c r="L5" i="3"/>
  <c r="L12" i="3" l="1"/>
  <c r="O5" i="3"/>
  <c r="O12" i="3" s="1"/>
  <c r="O13" i="3" s="1"/>
  <c r="L16" i="3" l="1"/>
  <c r="L17" i="3" s="1"/>
</calcChain>
</file>

<file path=xl/sharedStrings.xml><?xml version="1.0" encoding="utf-8"?>
<sst xmlns="http://schemas.openxmlformats.org/spreadsheetml/2006/main" count="64" uniqueCount="63">
  <si>
    <t>Betten</t>
  </si>
  <si>
    <t>VK</t>
  </si>
  <si>
    <t>Notfallamb</t>
  </si>
  <si>
    <t>Erm. Amb</t>
  </si>
  <si>
    <t>MVZ</t>
  </si>
  <si>
    <t>FA</t>
  </si>
  <si>
    <t>STÄB-Teams</t>
  </si>
  <si>
    <t>Berechung KT</t>
  </si>
  <si>
    <t>KT-Auf</t>
  </si>
  <si>
    <t xml:space="preserve">KT-Amb </t>
  </si>
  <si>
    <t>KT-Med</t>
  </si>
  <si>
    <t>KT-Gesamt</t>
  </si>
  <si>
    <t>Berechnung Konnektor</t>
  </si>
  <si>
    <t>EBK</t>
  </si>
  <si>
    <t>RZK</t>
  </si>
  <si>
    <t>Konnektoren</t>
  </si>
  <si>
    <t>Admin-SW</t>
  </si>
  <si>
    <t>Kartenterminals</t>
  </si>
  <si>
    <t>Mobile KT</t>
  </si>
  <si>
    <t>Bereitstellung</t>
  </si>
  <si>
    <t>Anpassung SW</t>
  </si>
  <si>
    <t>Org. Anpassung</t>
  </si>
  <si>
    <t>Nutze RZK</t>
  </si>
  <si>
    <t>Pauschalen Ausstattung</t>
  </si>
  <si>
    <t>Pauschale Betrieb</t>
  </si>
  <si>
    <t>Hardware</t>
  </si>
  <si>
    <t>VPN-Zugänge</t>
  </si>
  <si>
    <t>Betrieb</t>
  </si>
  <si>
    <t>SMC-B</t>
  </si>
  <si>
    <t>AN-SMC-B</t>
  </si>
  <si>
    <t>AN-SMC-FA</t>
  </si>
  <si>
    <t>AN-SMC-Ges</t>
  </si>
  <si>
    <t>DS-Auflage</t>
  </si>
  <si>
    <t>N</t>
  </si>
  <si>
    <t>HBA</t>
  </si>
  <si>
    <t>HBAs</t>
  </si>
  <si>
    <t>Monate Betrieb</t>
  </si>
  <si>
    <t>Standorte</t>
  </si>
  <si>
    <t>Vereinbarte Fälle</t>
  </si>
  <si>
    <t>Volumen:</t>
  </si>
  <si>
    <t>Telematikzuschlag:</t>
  </si>
  <si>
    <t>Anteilig:</t>
  </si>
  <si>
    <t>Pro Jahr:</t>
  </si>
  <si>
    <t>Einmalig:</t>
  </si>
  <si>
    <t>Übertrag aus Vorjahr</t>
  </si>
  <si>
    <t>Planbetten</t>
  </si>
  <si>
    <t>Vollkräfteäquivalent</t>
  </si>
  <si>
    <t>Anzahl räumlichgetrennter Orte, wo Notfallbehandlungen nach §76 SGB V durchgeführt werden</t>
  </si>
  <si>
    <t>Ambulanzen persönlich ermächtigter Ärzte</t>
  </si>
  <si>
    <t>MVZ mit gleichen Träger und gemeinsamer IT-Nutzung</t>
  </si>
  <si>
    <t>Anzahl Fachabteilungen</t>
  </si>
  <si>
    <t>Zugelassene Teams für Stationsäquivalente Behandlung</t>
  </si>
  <si>
    <t>Anzahl Ärztinnen und Ärzte, die einen HBA beantragt haben</t>
  </si>
  <si>
    <t>Anzahl Standorte im Standortverzeichnis, mindestens 1</t>
  </si>
  <si>
    <t>Hat das Land ein Datenschutzgesetz, dass eine kryptographische Erreichbarkeit für jede Fachabteilung fordert?</t>
  </si>
  <si>
    <t>Anzahl der angefangenen Betriebsmonate im Ausstattungsjahr</t>
  </si>
  <si>
    <t>"J" wenn es sich nicht um das Ausstattungsjahr handelt</t>
  </si>
  <si>
    <t>Anzahl der Fälle aus der Budgetverhandlung</t>
  </si>
  <si>
    <t>Summe aus dem Ausgleich des TI-Zuschlages aus dem Vorjahr</t>
  </si>
  <si>
    <t>Version</t>
  </si>
  <si>
    <t>Ist Folgejahr</t>
  </si>
  <si>
    <t>Noch keine Konsentierung durch GKV-SV und daher nur für erste Abschätzungen vorgesehen</t>
  </si>
  <si>
    <t>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</si>
</sst>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vertical="top"/>
    </xf>
    <xf numFmtId="0" fontId="0" fillId="2" borderId="0" xfId="0" applyFill="1" applyAlignment="1" applyProtection="1">
      <alignment vertical="top"/>
      <protection locked="0"/>
    </xf>
    <xf numFmtId="0" fontId="0" fillId="0" borderId="0" xfId="0" applyAlignment="1">
      <alignment horizontal="right" vertical="top"/>
    </xf>
    <xf numFmtId="0" fontId="0" fillId="2" borderId="0" xfId="0" applyFill="1" applyAlignment="1" applyProtection="1">
      <alignment horizontal="right" vertical="top"/>
      <protection locked="0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wrapText="1" shrinkToFit="1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right" vertical="top"/>
    </xf>
    <xf numFmtId="44" fontId="0" fillId="3" borderId="0" xfId="1" applyFont="1" applyFill="1" applyAlignment="1">
      <alignment vertical="top"/>
    </xf>
    <xf numFmtId="44" fontId="2" fillId="3" borderId="1" xfId="1" applyFont="1" applyFill="1" applyBorder="1" applyAlignment="1">
      <alignment vertical="top"/>
    </xf>
    <xf numFmtId="44" fontId="0" fillId="3" borderId="0" xfId="0" applyNumberFormat="1" applyFill="1" applyAlignment="1">
      <alignment vertical="top"/>
    </xf>
    <xf numFmtId="44" fontId="2" fillId="3" borderId="0" xfId="0" applyNumberFormat="1" applyFont="1" applyFill="1" applyAlignment="1">
      <alignment vertical="top"/>
    </xf>
    <xf numFmtId="44" fontId="2" fillId="3" borderId="1" xfId="0" applyNumberFormat="1" applyFont="1" applyFill="1" applyBorder="1" applyAlignment="1">
      <alignment vertical="top"/>
    </xf>
    <xf numFmtId="164" fontId="0" fillId="2" borderId="0" xfId="0" applyNumberFormat="1" applyFill="1" applyAlignment="1" applyProtection="1">
      <alignment vertical="top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3" fontId="0" fillId="2" borderId="0" xfId="2" applyNumberFormat="1" applyFont="1" applyFill="1" applyAlignment="1" applyProtection="1">
      <alignment vertical="top"/>
      <protection locked="0"/>
    </xf>
  </cellXfs>
  <cellStyles count="3">
    <cellStyle name="Komma" xfId="2" builtinId="3"/>
    <cellStyle name="Standard" xfId="0" builtinId="0"/>
    <cellStyle name="Währung" xfId="1" builtinId="4"/>
  </cellStyles>
  <dxfs count="1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topLeftCell="B1" zoomScaleNormal="100" workbookViewId="0">
      <selection activeCell="C3" sqref="C3"/>
    </sheetView>
  </sheetViews>
  <sheetFormatPr baseColWidth="10" defaultRowHeight="13.8" x14ac:dyDescent="0.25"/>
  <cols>
    <col min="1" max="1" width="42.8984375" hidden="1" customWidth="1"/>
    <col min="2" max="2" width="18.3984375" customWidth="1"/>
    <col min="3" max="3" width="9.296875" customWidth="1"/>
    <col min="4" max="4" width="1.3984375" customWidth="1"/>
    <col min="5" max="5" width="12.796875" customWidth="1"/>
    <col min="6" max="6" width="5.296875" customWidth="1"/>
    <col min="7" max="7" width="2" customWidth="1"/>
    <col min="8" max="8" width="10.19921875" customWidth="1"/>
    <col min="9" max="9" width="4.69921875" customWidth="1"/>
    <col min="10" max="10" width="5.296875" customWidth="1"/>
    <col min="11" max="11" width="14.19921875" customWidth="1"/>
    <col min="12" max="12" width="13.796875" customWidth="1"/>
    <col min="13" max="13" width="1.19921875" customWidth="1"/>
    <col min="14" max="14" width="12.3984375" customWidth="1"/>
    <col min="15" max="15" width="12.5" customWidth="1"/>
    <col min="16" max="16" width="11.59765625" bestFit="1" customWidth="1"/>
  </cols>
  <sheetData>
    <row r="1" spans="1:16" x14ac:dyDescent="0.25">
      <c r="B1" t="s">
        <v>59</v>
      </c>
      <c r="C1" s="18" t="s">
        <v>62</v>
      </c>
      <c r="E1" s="19" t="s">
        <v>61</v>
      </c>
    </row>
    <row r="2" spans="1:16" ht="13.95" customHeight="1" x14ac:dyDescent="0.25"/>
    <row r="3" spans="1:16" ht="13.95" customHeight="1" x14ac:dyDescent="0.25">
      <c r="E3" s="17" t="s">
        <v>7</v>
      </c>
      <c r="F3" s="17"/>
      <c r="G3" s="2"/>
      <c r="H3" s="17" t="s">
        <v>12</v>
      </c>
      <c r="I3" s="17"/>
      <c r="J3" s="17"/>
      <c r="K3" s="17" t="s">
        <v>23</v>
      </c>
      <c r="L3" s="17"/>
      <c r="M3" s="2"/>
      <c r="N3" s="17" t="s">
        <v>24</v>
      </c>
      <c r="O3" s="17"/>
    </row>
    <row r="4" spans="1:16" ht="13.95" customHeight="1" x14ac:dyDescent="0.25"/>
    <row r="5" spans="1:16" ht="13.95" customHeight="1" x14ac:dyDescent="0.25">
      <c r="A5" s="8" t="s">
        <v>45</v>
      </c>
      <c r="B5" s="3" t="s">
        <v>0</v>
      </c>
      <c r="C5" s="4">
        <v>173</v>
      </c>
      <c r="D5" s="3"/>
      <c r="E5" s="3" t="s">
        <v>8</v>
      </c>
      <c r="F5" s="9">
        <f>ROUNDUP(C5/25,0)</f>
        <v>7</v>
      </c>
      <c r="G5" s="3"/>
      <c r="H5" s="3" t="s">
        <v>13</v>
      </c>
      <c r="I5" s="9">
        <f>MAX(C13,ROUNDUP(F8/25,0))+C13</f>
        <v>2</v>
      </c>
      <c r="J5" s="3"/>
      <c r="K5" s="3" t="s">
        <v>15</v>
      </c>
      <c r="L5" s="11">
        <f>IF(I8="J",I6*3000,I5*1547)</f>
        <v>3094</v>
      </c>
      <c r="M5" s="3"/>
      <c r="N5" s="3" t="s">
        <v>25</v>
      </c>
      <c r="O5" s="11">
        <f>L5*0.2</f>
        <v>618.80000000000007</v>
      </c>
    </row>
    <row r="6" spans="1:16" ht="13.95" customHeight="1" x14ac:dyDescent="0.25">
      <c r="A6" s="8" t="s">
        <v>46</v>
      </c>
      <c r="B6" s="3" t="s">
        <v>1</v>
      </c>
      <c r="C6" s="4">
        <v>35</v>
      </c>
      <c r="D6" s="3"/>
      <c r="E6" s="3" t="s">
        <v>9</v>
      </c>
      <c r="F6" s="9">
        <f>C8+(C7+C9)*3</f>
        <v>6</v>
      </c>
      <c r="G6" s="3"/>
      <c r="H6" s="3" t="s">
        <v>14</v>
      </c>
      <c r="I6" s="9">
        <f>MAX(ROUNDUP(F8/50,0),C13)+C13</f>
        <v>2</v>
      </c>
      <c r="J6" s="3"/>
      <c r="K6" s="3" t="s">
        <v>16</v>
      </c>
      <c r="L6" s="11">
        <f>IF(AND(I8="J",(I6-C13)&gt;1),2000,0)</f>
        <v>0</v>
      </c>
      <c r="M6" s="3"/>
      <c r="N6" s="3" t="s">
        <v>26</v>
      </c>
      <c r="O6" s="11">
        <f>(IF(I8="J",I6,I5)-C13)*792</f>
        <v>792</v>
      </c>
    </row>
    <row r="7" spans="1:16" ht="13.95" customHeight="1" x14ac:dyDescent="0.25">
      <c r="A7" s="8" t="s">
        <v>47</v>
      </c>
      <c r="B7" s="3" t="s">
        <v>2</v>
      </c>
      <c r="C7" s="4">
        <v>1</v>
      </c>
      <c r="D7" s="3"/>
      <c r="E7" s="3" t="s">
        <v>10</v>
      </c>
      <c r="F7" s="9">
        <f>ROUNDUP(C6/3,0)</f>
        <v>12</v>
      </c>
      <c r="G7" s="3"/>
      <c r="H7" s="3"/>
      <c r="I7" s="3"/>
      <c r="J7" s="3"/>
      <c r="K7" s="3" t="s">
        <v>17</v>
      </c>
      <c r="L7" s="11">
        <f>F8*435</f>
        <v>10875</v>
      </c>
      <c r="M7" s="3"/>
      <c r="N7" s="3" t="s">
        <v>27</v>
      </c>
      <c r="O7" s="11">
        <f>MIN((ROUNDUP(F8/25,0)-1)*1800+100,54100)</f>
        <v>100</v>
      </c>
      <c r="P7" s="1" t="str">
        <f>IF(ROUNDUP(F8/25,0)&gt;30,((ROUNDUP(F8/25,0)-1)*1800-54000),"")</f>
        <v/>
      </c>
    </row>
    <row r="8" spans="1:16" ht="13.95" customHeight="1" x14ac:dyDescent="0.25">
      <c r="A8" s="8" t="s">
        <v>48</v>
      </c>
      <c r="B8" s="3" t="s">
        <v>3</v>
      </c>
      <c r="C8" s="4">
        <v>3</v>
      </c>
      <c r="D8" s="3"/>
      <c r="E8" s="3" t="s">
        <v>11</v>
      </c>
      <c r="F8" s="9">
        <f>SUM(F5:F7)</f>
        <v>25</v>
      </c>
      <c r="G8" s="3"/>
      <c r="H8" s="3" t="s">
        <v>22</v>
      </c>
      <c r="I8" s="10" t="str">
        <f>IF(F8&gt;=50,"J","N")</f>
        <v>N</v>
      </c>
      <c r="J8" s="3"/>
      <c r="K8" s="3" t="s">
        <v>18</v>
      </c>
      <c r="L8" s="11">
        <f>C11*350</f>
        <v>0</v>
      </c>
      <c r="M8" s="3"/>
      <c r="N8" s="3" t="s">
        <v>28</v>
      </c>
      <c r="O8" s="11">
        <f>F12*93</f>
        <v>558</v>
      </c>
    </row>
    <row r="9" spans="1:16" ht="13.95" customHeight="1" x14ac:dyDescent="0.25">
      <c r="A9" s="8" t="s">
        <v>49</v>
      </c>
      <c r="B9" s="3" t="s">
        <v>4</v>
      </c>
      <c r="C9" s="4">
        <v>0</v>
      </c>
      <c r="D9" s="3"/>
      <c r="E9" s="3"/>
      <c r="F9" s="3"/>
      <c r="G9" s="3"/>
      <c r="H9" s="3"/>
      <c r="I9" s="3"/>
      <c r="J9" s="3"/>
      <c r="K9" s="3" t="s">
        <v>19</v>
      </c>
      <c r="L9" s="11">
        <f>IF(I8="J",(I6-C13)*40000,(I5-C13)*20000)</f>
        <v>20000</v>
      </c>
      <c r="M9" s="3"/>
      <c r="N9" s="3" t="s">
        <v>34</v>
      </c>
      <c r="O9" s="11">
        <f>C12*46.52</f>
        <v>930.40000000000009</v>
      </c>
    </row>
    <row r="10" spans="1:16" ht="13.95" customHeight="1" x14ac:dyDescent="0.25">
      <c r="A10" s="8" t="s">
        <v>50</v>
      </c>
      <c r="B10" s="3" t="s">
        <v>5</v>
      </c>
      <c r="C10" s="4">
        <v>15</v>
      </c>
      <c r="D10" s="3"/>
      <c r="E10" s="3" t="s">
        <v>29</v>
      </c>
      <c r="F10" s="9">
        <f>SUM(C7:C9)+IF(I8="J",I6,I5)-C13+1</f>
        <v>6</v>
      </c>
      <c r="G10" s="3"/>
      <c r="H10" s="3"/>
      <c r="I10" s="3"/>
      <c r="J10" s="3"/>
      <c r="K10" s="3" t="s">
        <v>20</v>
      </c>
      <c r="L10" s="11">
        <f>50000</f>
        <v>50000</v>
      </c>
      <c r="M10" s="3"/>
      <c r="N10" s="3"/>
      <c r="O10" s="3"/>
    </row>
    <row r="11" spans="1:16" ht="13.95" customHeight="1" x14ac:dyDescent="0.25">
      <c r="A11" s="8" t="s">
        <v>51</v>
      </c>
      <c r="B11" s="3" t="s">
        <v>6</v>
      </c>
      <c r="C11" s="4">
        <v>0</v>
      </c>
      <c r="D11" s="3"/>
      <c r="E11" s="3" t="s">
        <v>30</v>
      </c>
      <c r="F11" s="9">
        <f>C10</f>
        <v>15</v>
      </c>
      <c r="G11" s="3"/>
      <c r="H11" s="3"/>
      <c r="I11" s="3"/>
      <c r="J11" s="3"/>
      <c r="K11" s="3" t="s">
        <v>21</v>
      </c>
      <c r="L11" s="11">
        <f>C5*150</f>
        <v>25950</v>
      </c>
      <c r="M11" s="3"/>
      <c r="N11" s="3"/>
      <c r="O11" s="3"/>
    </row>
    <row r="12" spans="1:16" ht="13.95" customHeight="1" thickBot="1" x14ac:dyDescent="0.3">
      <c r="A12" s="8" t="s">
        <v>52</v>
      </c>
      <c r="B12" s="3" t="s">
        <v>35</v>
      </c>
      <c r="C12" s="4">
        <v>20</v>
      </c>
      <c r="D12" s="3"/>
      <c r="E12" s="3" t="s">
        <v>31</v>
      </c>
      <c r="F12" s="9">
        <f>F10+IF(C14="J",F11,0)</f>
        <v>6</v>
      </c>
      <c r="G12" s="3"/>
      <c r="H12" s="3"/>
      <c r="I12" s="3"/>
      <c r="J12" s="3"/>
      <c r="K12" s="5" t="s">
        <v>43</v>
      </c>
      <c r="L12" s="12">
        <f>SUM(L5:L11)</f>
        <v>109919</v>
      </c>
      <c r="M12" s="3"/>
      <c r="N12" s="5" t="s">
        <v>42</v>
      </c>
      <c r="O12" s="15">
        <f>SUM(O5:O9)</f>
        <v>2999.2000000000003</v>
      </c>
    </row>
    <row r="13" spans="1:16" ht="13.95" customHeight="1" thickTop="1" x14ac:dyDescent="0.25">
      <c r="A13" s="8" t="s">
        <v>53</v>
      </c>
      <c r="B13" s="3" t="s">
        <v>37</v>
      </c>
      <c r="C13" s="4">
        <v>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5" t="s">
        <v>41</v>
      </c>
      <c r="O13" s="13">
        <f>IF(C16="J",O12,O12/12*C15)</f>
        <v>1749.5333333333335</v>
      </c>
    </row>
    <row r="14" spans="1:16" ht="13.95" customHeight="1" x14ac:dyDescent="0.25">
      <c r="A14" s="8" t="s">
        <v>54</v>
      </c>
      <c r="B14" s="3" t="s">
        <v>32</v>
      </c>
      <c r="C14" s="6" t="s">
        <v>33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ht="13.95" customHeight="1" x14ac:dyDescent="0.25">
      <c r="A15" s="8" t="s">
        <v>55</v>
      </c>
      <c r="B15" s="3" t="s">
        <v>36</v>
      </c>
      <c r="C15" s="4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6" ht="13.95" customHeight="1" x14ac:dyDescent="0.25">
      <c r="A16" s="8" t="s">
        <v>56</v>
      </c>
      <c r="B16" s="3" t="s">
        <v>60</v>
      </c>
      <c r="C16" s="6" t="s">
        <v>33</v>
      </c>
      <c r="D16" s="3"/>
      <c r="E16" s="3"/>
      <c r="F16" s="3"/>
      <c r="G16" s="3"/>
      <c r="H16" s="3"/>
      <c r="I16" s="3"/>
      <c r="J16" s="3"/>
      <c r="K16" s="5" t="s">
        <v>39</v>
      </c>
      <c r="L16" s="13">
        <f>IF(C16="J",0,L12)+IF(C16="J",O12+C18,O13)</f>
        <v>111668.53333333334</v>
      </c>
      <c r="M16" s="3"/>
      <c r="N16" s="3"/>
      <c r="O16" s="3"/>
    </row>
    <row r="17" spans="1:15" ht="13.95" customHeight="1" x14ac:dyDescent="0.25">
      <c r="A17" s="8" t="s">
        <v>57</v>
      </c>
      <c r="B17" s="3" t="s">
        <v>38</v>
      </c>
      <c r="C17" s="20">
        <v>15000</v>
      </c>
      <c r="D17" s="3"/>
      <c r="E17" s="3"/>
      <c r="F17" s="3"/>
      <c r="G17" s="3"/>
      <c r="H17" s="3"/>
      <c r="I17" s="3"/>
      <c r="J17" s="3"/>
      <c r="K17" s="7" t="s">
        <v>40</v>
      </c>
      <c r="L17" s="14">
        <f>L16/C17</f>
        <v>7.444568888888889</v>
      </c>
      <c r="M17" s="3"/>
      <c r="N17" s="3"/>
      <c r="O17" s="3"/>
    </row>
    <row r="18" spans="1:15" ht="13.95" customHeight="1" x14ac:dyDescent="0.25">
      <c r="A18" s="8" t="s">
        <v>58</v>
      </c>
      <c r="B18" s="3" t="s">
        <v>44</v>
      </c>
      <c r="C18" s="16"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3.95" customHeight="1" x14ac:dyDescent="0.25"/>
  </sheetData>
  <sheetProtection sheet="1" objects="1" scenarios="1"/>
  <mergeCells count="4">
    <mergeCell ref="E3:F3"/>
    <mergeCell ref="H3:J3"/>
    <mergeCell ref="K3:L3"/>
    <mergeCell ref="N3:O3"/>
  </mergeCells>
  <conditionalFormatting sqref="C6">
    <cfRule type="expression" dxfId="17" priority="26">
      <formula>OR(NOT(ISNUMBER(C6)),C6&lt;=0)</formula>
    </cfRule>
  </conditionalFormatting>
  <conditionalFormatting sqref="C7">
    <cfRule type="expression" dxfId="16" priority="25">
      <formula>NOT(ISNUMBER(C7))</formula>
    </cfRule>
  </conditionalFormatting>
  <conditionalFormatting sqref="C8">
    <cfRule type="expression" dxfId="15" priority="24">
      <formula>NOT(ISNUMBER(C8))</formula>
    </cfRule>
  </conditionalFormatting>
  <conditionalFormatting sqref="C17">
    <cfRule type="expression" dxfId="14" priority="9">
      <formula>OR(NOT(ISNUMBER(C17)),C17&lt;=0)</formula>
    </cfRule>
  </conditionalFormatting>
  <conditionalFormatting sqref="C15">
    <cfRule type="expression" dxfId="13" priority="11">
      <formula>OR(NOT(ISNUMBER(C15)),C15&lt;1,C15&gt;12)</formula>
    </cfRule>
  </conditionalFormatting>
  <conditionalFormatting sqref="C16">
    <cfRule type="expression" dxfId="12" priority="10">
      <formula>AND(C16&lt;&gt;"J",C16&lt;&gt;"N")</formula>
    </cfRule>
  </conditionalFormatting>
  <conditionalFormatting sqref="C14">
    <cfRule type="expression" dxfId="11" priority="12">
      <formula>AND(C14&lt;&gt;"J",C14&lt;&gt;"N")</formula>
    </cfRule>
  </conditionalFormatting>
  <conditionalFormatting sqref="C5">
    <cfRule type="expression" dxfId="10" priority="27">
      <formula>OR(NOT(ISNUMBER(C5)),C5&lt;=0)</formula>
    </cfRule>
  </conditionalFormatting>
  <conditionalFormatting sqref="C9">
    <cfRule type="expression" dxfId="9" priority="19">
      <formula>NOT(ISNUMBER(C9))</formula>
    </cfRule>
  </conditionalFormatting>
  <conditionalFormatting sqref="C11">
    <cfRule type="expression" dxfId="8" priority="15">
      <formula>NOT(ISNUMBER(C11))</formula>
    </cfRule>
  </conditionalFormatting>
  <conditionalFormatting sqref="C12">
    <cfRule type="expression" dxfId="7" priority="14">
      <formula>NOT(ISNUMBER(C12))</formula>
    </cfRule>
  </conditionalFormatting>
  <conditionalFormatting sqref="C18">
    <cfRule type="expression" dxfId="6" priority="7">
      <formula>NOT(ISNUMBER(C18))</formula>
    </cfRule>
  </conditionalFormatting>
  <conditionalFormatting sqref="C10">
    <cfRule type="expression" dxfId="5" priority="6">
      <formula>OR(NOT(ISNUMBER(C10)),C10&lt;=0)</formula>
    </cfRule>
  </conditionalFormatting>
  <conditionalFormatting sqref="C13">
    <cfRule type="expression" dxfId="4" priority="5">
      <formula>OR(NOT(ISNUMBER(C13)),C13&lt;=0)</formula>
    </cfRule>
  </conditionalFormatting>
  <conditionalFormatting sqref="B17:C17">
    <cfRule type="expression" dxfId="3" priority="4">
      <formula>$C$16="N"</formula>
    </cfRule>
  </conditionalFormatting>
  <conditionalFormatting sqref="B18:C18">
    <cfRule type="expression" dxfId="2" priority="3">
      <formula>$C$16="N"</formula>
    </cfRule>
  </conditionalFormatting>
  <conditionalFormatting sqref="B15:C15">
    <cfRule type="expression" dxfId="1" priority="2">
      <formula>$C$16="J"</formula>
    </cfRule>
  </conditionalFormatting>
  <conditionalFormatting sqref="L5:L12">
    <cfRule type="expression" dxfId="0" priority="1">
      <formula>$C$16="J"</formula>
    </cfRule>
  </conditionalFormatting>
  <pageMargins left="0.7" right="0.7" top="0.78740157499999996" bottom="0.78740157499999996" header="0.3" footer="0.3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Kalkulator</vt:lpstr>
    </vt:vector>
  </TitlesOfParts>
  <Company>Deutsche Krankenhausgesellschaft e. 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Rechenhilfe Telematik-Zuschlag</dc:title>
  <dc:creator>Deutsche Krankenhausgesellschaft e. V.;Dezernat III</dc:creator>
  <cp:lastModifiedBy>Neuhaus, Jan</cp:lastModifiedBy>
  <cp:lastPrinted>2018-11-22T17:33:18Z</cp:lastPrinted>
  <dcterms:created xsi:type="dcterms:W3CDTF">2018-07-23T16:14:05Z</dcterms:created>
  <dcterms:modified xsi:type="dcterms:W3CDTF">2018-11-22T17:37:59Z</dcterms:modified>
  <cp:contentStatus>Noch nicht konsentiert</cp:contentStatus>
</cp:coreProperties>
</file>